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202300"/>
  <mc:AlternateContent xmlns:mc="http://schemas.openxmlformats.org/markup-compatibility/2006">
    <mc:Choice Requires="x15">
      <x15ac:absPath xmlns:x15ac="http://schemas.microsoft.com/office/spreadsheetml/2010/11/ac" url="https://d.docs.live.net/d6b819adfd8b648b/Documentos/Clientes/CIG Camara de Industria GDE/9-2025 Analisis EF 1H/"/>
    </mc:Choice>
  </mc:AlternateContent>
  <xr:revisionPtr revIDLastSave="311" documentId="8_{B27D54DA-2F90-A94A-91CC-8E924C2F6535}" xr6:coauthVersionLast="47" xr6:coauthVersionMax="47" xr10:uidLastSave="{F518170A-0960-384A-8292-711EB1C28D4E}"/>
  <bookViews>
    <workbookView xWindow="0" yWindow="660" windowWidth="28800" windowHeight="17980" activeTab="4" xr2:uid="{35B16338-E362-DC4B-99BD-2C53990C1D20}"/>
  </bookViews>
  <sheets>
    <sheet name="Datos EF" sheetId="2" r:id="rId1"/>
    <sheet name="Comparativo BG" sheetId="4" r:id="rId2"/>
    <sheet name="Comparativo ER" sheetId="3" r:id="rId3"/>
    <sheet name="Analisis Ebitda" sheetId="6" r:id="rId4"/>
    <sheet name="KPIs" sheetId="7" r:id="rId5"/>
    <sheet name="Formulas" sheetId="9" r:id="rId6"/>
  </sheets>
  <definedNames>
    <definedName name="Numeromes">'Datos EF'!$M$9:$M$20</definedName>
    <definedName name="Tip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 l="1"/>
  <c r="F14" i="6"/>
  <c r="C8" i="4"/>
  <c r="E14" i="2"/>
  <c r="N15" i="9" s="1"/>
  <c r="D14" i="2"/>
  <c r="M15" i="9" s="1"/>
  <c r="C14" i="2"/>
  <c r="C9" i="4"/>
  <c r="B22" i="3"/>
  <c r="B23" i="3"/>
  <c r="B24" i="3"/>
  <c r="B25" i="3"/>
  <c r="N106" i="9"/>
  <c r="Q106" i="9" s="1"/>
  <c r="M106" i="9"/>
  <c r="P106" i="9" s="1"/>
  <c r="L106" i="9"/>
  <c r="O106" i="9" s="1"/>
  <c r="N69" i="9"/>
  <c r="N72" i="9" s="1"/>
  <c r="N75" i="9" s="1"/>
  <c r="M69" i="9"/>
  <c r="M72" i="9" s="1"/>
  <c r="M75" i="9" s="1"/>
  <c r="L69" i="9"/>
  <c r="L72" i="9" s="1"/>
  <c r="L75" i="9" s="1"/>
  <c r="N64" i="9"/>
  <c r="M64" i="9"/>
  <c r="L64" i="9"/>
  <c r="N38" i="9"/>
  <c r="M38" i="9"/>
  <c r="L38" i="9"/>
  <c r="N37" i="9"/>
  <c r="M37" i="9"/>
  <c r="P37" i="9" s="1"/>
  <c r="E17" i="7" s="1"/>
  <c r="N27" i="9"/>
  <c r="M27" i="9"/>
  <c r="L27" i="9"/>
  <c r="N26" i="9"/>
  <c r="Q26" i="9" s="1"/>
  <c r="F16" i="7" s="1"/>
  <c r="M26" i="9"/>
  <c r="P26" i="9" s="1"/>
  <c r="E16" i="7" s="1"/>
  <c r="L26" i="9"/>
  <c r="O26" i="9" s="1"/>
  <c r="D16" i="7" s="1"/>
  <c r="N16" i="9"/>
  <c r="M16" i="9"/>
  <c r="L16" i="9"/>
  <c r="Q5" i="9"/>
  <c r="P5" i="9"/>
  <c r="E5" i="9"/>
  <c r="H21" i="7"/>
  <c r="G21" i="7"/>
  <c r="H20" i="7"/>
  <c r="G20" i="7"/>
  <c r="H18" i="7"/>
  <c r="G18" i="7"/>
  <c r="G17" i="7"/>
  <c r="G16" i="7"/>
  <c r="H15" i="7"/>
  <c r="G15" i="7"/>
  <c r="H14" i="7"/>
  <c r="G14" i="7"/>
  <c r="H13" i="7"/>
  <c r="G13" i="7"/>
  <c r="F8" i="7"/>
  <c r="E8" i="7"/>
  <c r="F5" i="7"/>
  <c r="E5" i="7"/>
  <c r="D5" i="7"/>
  <c r="H13" i="6"/>
  <c r="N59" i="9" s="1"/>
  <c r="G13" i="6"/>
  <c r="M59" i="9" s="1"/>
  <c r="F13" i="6"/>
  <c r="H12" i="6"/>
  <c r="G12" i="6"/>
  <c r="F12" i="6"/>
  <c r="E12" i="6" s="1"/>
  <c r="H10" i="6"/>
  <c r="G10" i="6"/>
  <c r="F10" i="6"/>
  <c r="B37" i="4"/>
  <c r="B36" i="4"/>
  <c r="G35" i="4"/>
  <c r="E35" i="4"/>
  <c r="C35" i="4"/>
  <c r="B35" i="4"/>
  <c r="G34" i="4"/>
  <c r="E34" i="4"/>
  <c r="C34" i="4"/>
  <c r="B34" i="4"/>
  <c r="B33" i="4"/>
  <c r="G32" i="4"/>
  <c r="E32" i="4"/>
  <c r="C32" i="4"/>
  <c r="B32" i="4"/>
  <c r="G31" i="4"/>
  <c r="E31" i="4"/>
  <c r="J31" i="4" s="1"/>
  <c r="C31" i="4"/>
  <c r="I31" i="4" s="1"/>
  <c r="B31" i="4"/>
  <c r="G30" i="4"/>
  <c r="E30" i="4"/>
  <c r="C30" i="4"/>
  <c r="B30" i="4"/>
  <c r="G29" i="4"/>
  <c r="E29" i="4"/>
  <c r="C29" i="4"/>
  <c r="B29" i="4"/>
  <c r="B28" i="4"/>
  <c r="G27" i="4"/>
  <c r="E27" i="4"/>
  <c r="C27" i="4"/>
  <c r="B27" i="4"/>
  <c r="G26" i="4"/>
  <c r="E26" i="4"/>
  <c r="C26" i="4"/>
  <c r="B26" i="4"/>
  <c r="G25" i="4"/>
  <c r="E25" i="4"/>
  <c r="C25" i="4"/>
  <c r="B25" i="4"/>
  <c r="G24" i="4"/>
  <c r="E24" i="4"/>
  <c r="C24" i="4"/>
  <c r="B24" i="4"/>
  <c r="G23" i="4"/>
  <c r="E23" i="4"/>
  <c r="C23" i="4"/>
  <c r="B23" i="4"/>
  <c r="B22" i="4"/>
  <c r="B21" i="4"/>
  <c r="G20" i="4"/>
  <c r="E20" i="4"/>
  <c r="C20" i="4"/>
  <c r="B20" i="4"/>
  <c r="G19" i="4"/>
  <c r="E19" i="4"/>
  <c r="C19" i="4"/>
  <c r="B19" i="4"/>
  <c r="G18" i="4"/>
  <c r="E18" i="4"/>
  <c r="C18" i="4"/>
  <c r="B18" i="4"/>
  <c r="G17" i="4"/>
  <c r="E17" i="4"/>
  <c r="C17" i="4"/>
  <c r="B17" i="4"/>
  <c r="G16" i="4"/>
  <c r="E16" i="4"/>
  <c r="C16" i="4"/>
  <c r="B16" i="4"/>
  <c r="G15" i="4"/>
  <c r="E15" i="4"/>
  <c r="C15" i="4"/>
  <c r="B15" i="4"/>
  <c r="B14" i="4"/>
  <c r="G13" i="4"/>
  <c r="E13" i="4"/>
  <c r="C13" i="4"/>
  <c r="B13" i="4"/>
  <c r="G12" i="4"/>
  <c r="E12" i="4"/>
  <c r="C12" i="4"/>
  <c r="B12" i="4"/>
  <c r="G11" i="4"/>
  <c r="E11" i="4"/>
  <c r="C11" i="4"/>
  <c r="B11" i="4"/>
  <c r="G10" i="4"/>
  <c r="E10" i="4"/>
  <c r="C10" i="4"/>
  <c r="B10" i="4"/>
  <c r="G9" i="4"/>
  <c r="E9" i="4"/>
  <c r="B9" i="4"/>
  <c r="G8" i="4"/>
  <c r="E8" i="4"/>
  <c r="B8" i="4"/>
  <c r="B7" i="4"/>
  <c r="B6" i="4"/>
  <c r="B27" i="3"/>
  <c r="B26" i="3"/>
  <c r="G24" i="3"/>
  <c r="E24" i="3"/>
  <c r="C24" i="3"/>
  <c r="G21" i="3"/>
  <c r="E21" i="3"/>
  <c r="B21" i="3"/>
  <c r="G20" i="3"/>
  <c r="E20" i="3"/>
  <c r="C20" i="3"/>
  <c r="B20" i="3"/>
  <c r="B19" i="3"/>
  <c r="B18" i="3"/>
  <c r="G17" i="3"/>
  <c r="E17" i="3"/>
  <c r="C17" i="3"/>
  <c r="B17" i="3"/>
  <c r="G16" i="3"/>
  <c r="E16" i="3"/>
  <c r="C16" i="3"/>
  <c r="B16" i="3"/>
  <c r="G15" i="3"/>
  <c r="E15" i="3"/>
  <c r="C15" i="3"/>
  <c r="B15" i="3"/>
  <c r="G12" i="3"/>
  <c r="E12" i="3"/>
  <c r="C12" i="3"/>
  <c r="B12" i="3"/>
  <c r="L11" i="3"/>
  <c r="K11" i="3"/>
  <c r="B11" i="3"/>
  <c r="B9" i="3"/>
  <c r="G8" i="3"/>
  <c r="E8" i="3"/>
  <c r="C8" i="3"/>
  <c r="B8" i="3"/>
  <c r="B7" i="3"/>
  <c r="L6" i="3"/>
  <c r="K6" i="3"/>
  <c r="B6" i="3"/>
  <c r="G5" i="3"/>
  <c r="G5" i="4" s="1"/>
  <c r="E5" i="3"/>
  <c r="C5" i="3"/>
  <c r="C5" i="4" s="1"/>
  <c r="K31" i="2"/>
  <c r="G28" i="4" s="1"/>
  <c r="J31" i="2"/>
  <c r="E28" i="4" s="1"/>
  <c r="I31" i="2"/>
  <c r="C28" i="4" s="1"/>
  <c r="O28" i="2"/>
  <c r="O27" i="2"/>
  <c r="O26" i="2"/>
  <c r="K25" i="2"/>
  <c r="J25" i="2"/>
  <c r="M90" i="9" s="1"/>
  <c r="M100" i="9" s="1"/>
  <c r="I25" i="2"/>
  <c r="L90" i="9" s="1"/>
  <c r="L100" i="9" s="1"/>
  <c r="E25" i="2"/>
  <c r="G22" i="3" s="1"/>
  <c r="D25" i="2"/>
  <c r="E22" i="3" s="1"/>
  <c r="E21" i="2"/>
  <c r="G18" i="3" s="1"/>
  <c r="D21" i="2"/>
  <c r="E18" i="3" s="1"/>
  <c r="C21" i="2"/>
  <c r="K17" i="2"/>
  <c r="G14" i="4" s="1"/>
  <c r="J17" i="2"/>
  <c r="E14" i="4" s="1"/>
  <c r="I17" i="2"/>
  <c r="C14" i="4" s="1"/>
  <c r="E13" i="2"/>
  <c r="D13" i="2"/>
  <c r="C13" i="2"/>
  <c r="O10" i="2"/>
  <c r="K10" i="2"/>
  <c r="J10" i="2"/>
  <c r="I10" i="2"/>
  <c r="O9" i="2"/>
  <c r="B9" i="2"/>
  <c r="K8" i="2"/>
  <c r="J8" i="2"/>
  <c r="I8" i="2"/>
  <c r="Q37" i="9" l="1"/>
  <c r="N90" i="9"/>
  <c r="N100" i="9" s="1"/>
  <c r="K24" i="2"/>
  <c r="L37" i="9"/>
  <c r="O37" i="9" s="1"/>
  <c r="L15" i="9"/>
  <c r="D8" i="7"/>
  <c r="N89" i="9"/>
  <c r="K9" i="2"/>
  <c r="M89" i="9"/>
  <c r="P89" i="9" s="1"/>
  <c r="E21" i="7" s="1"/>
  <c r="J9" i="2"/>
  <c r="L89" i="9"/>
  <c r="O89" i="9" s="1"/>
  <c r="D21" i="7" s="1"/>
  <c r="I9" i="2"/>
  <c r="C21" i="3"/>
  <c r="I21" i="3" s="1"/>
  <c r="J21" i="3" s="1"/>
  <c r="K21" i="3" s="1"/>
  <c r="C25" i="2"/>
  <c r="C22" i="3" s="1"/>
  <c r="I22" i="3" s="1"/>
  <c r="J22" i="3" s="1"/>
  <c r="K22" i="3" s="1"/>
  <c r="M26" i="2"/>
  <c r="N26" i="2"/>
  <c r="E10" i="6"/>
  <c r="E13" i="6"/>
  <c r="L59" i="9"/>
  <c r="Q15" i="9"/>
  <c r="N19" i="9" s="1"/>
  <c r="Q18" i="9" s="1"/>
  <c r="P15" i="9"/>
  <c r="O15" i="9"/>
  <c r="I8" i="4"/>
  <c r="L5" i="3"/>
  <c r="J5" i="4" s="1"/>
  <c r="E5" i="4"/>
  <c r="K8" i="9"/>
  <c r="G22" i="4"/>
  <c r="J24" i="2"/>
  <c r="E22" i="4"/>
  <c r="J8" i="9"/>
  <c r="I24" i="2"/>
  <c r="C22" i="4"/>
  <c r="I22" i="4" s="1"/>
  <c r="I8" i="9"/>
  <c r="C18" i="3"/>
  <c r="E15" i="2"/>
  <c r="N68" i="9" s="1"/>
  <c r="Q68" i="9" s="1"/>
  <c r="G7" i="3"/>
  <c r="H18" i="3" s="1"/>
  <c r="F7" i="7"/>
  <c r="D15" i="2"/>
  <c r="M68" i="9" s="1"/>
  <c r="P68" i="9" s="1"/>
  <c r="E7" i="7"/>
  <c r="E7" i="3"/>
  <c r="C15" i="2"/>
  <c r="L68" i="9" s="1"/>
  <c r="O68" i="9" s="1"/>
  <c r="D7" i="7"/>
  <c r="C7" i="3"/>
  <c r="G7" i="4"/>
  <c r="G8" i="9"/>
  <c r="N10" i="9" s="1"/>
  <c r="E7" i="4"/>
  <c r="F8" i="9"/>
  <c r="M10" i="9" s="1"/>
  <c r="C7" i="4"/>
  <c r="E8" i="9"/>
  <c r="L10" i="9" s="1"/>
  <c r="C4" i="4"/>
  <c r="I5" i="3"/>
  <c r="C4" i="3"/>
  <c r="M41" i="9"/>
  <c r="P40" i="9" s="1"/>
  <c r="M44" i="9"/>
  <c r="P43" i="9" s="1"/>
  <c r="N30" i="9"/>
  <c r="N33" i="9"/>
  <c r="Q32" i="9" s="1"/>
  <c r="M30" i="9"/>
  <c r="M33" i="9"/>
  <c r="P32" i="9" s="1"/>
  <c r="L30" i="9"/>
  <c r="L33" i="9"/>
  <c r="O32" i="9" s="1"/>
  <c r="J35" i="4"/>
  <c r="I35" i="4"/>
  <c r="J34" i="4"/>
  <c r="I34" i="4"/>
  <c r="J32" i="4"/>
  <c r="I32" i="4"/>
  <c r="J30" i="4"/>
  <c r="I30" i="4"/>
  <c r="J29" i="4"/>
  <c r="I29" i="4"/>
  <c r="J28" i="4"/>
  <c r="I28" i="4"/>
  <c r="J27" i="4"/>
  <c r="I27" i="4"/>
  <c r="J26" i="4"/>
  <c r="I26" i="4"/>
  <c r="J25" i="4"/>
  <c r="I25" i="4"/>
  <c r="J24" i="4"/>
  <c r="I24" i="4"/>
  <c r="J23" i="4"/>
  <c r="I23" i="4"/>
  <c r="J20" i="4"/>
  <c r="I20" i="4"/>
  <c r="J19" i="4"/>
  <c r="I19" i="4"/>
  <c r="J18" i="4"/>
  <c r="I18" i="4"/>
  <c r="J17" i="4"/>
  <c r="I17" i="4"/>
  <c r="J16" i="4"/>
  <c r="I16" i="4"/>
  <c r="J15" i="4"/>
  <c r="I15" i="4"/>
  <c r="J14" i="4"/>
  <c r="I14" i="4"/>
  <c r="J13" i="4"/>
  <c r="I13" i="4"/>
  <c r="J12" i="4"/>
  <c r="I12" i="4"/>
  <c r="J11" i="4"/>
  <c r="I11" i="4"/>
  <c r="J10" i="4"/>
  <c r="I10" i="4"/>
  <c r="J9" i="4"/>
  <c r="I9" i="4"/>
  <c r="J8" i="4"/>
  <c r="L24" i="3"/>
  <c r="I24" i="3"/>
  <c r="J24" i="3" s="1"/>
  <c r="K24" i="3" s="1"/>
  <c r="L22" i="3"/>
  <c r="L21" i="3"/>
  <c r="L20" i="3"/>
  <c r="I20" i="3"/>
  <c r="J20" i="3" s="1"/>
  <c r="K20" i="3" s="1"/>
  <c r="L18" i="3"/>
  <c r="L17" i="3"/>
  <c r="I17" i="3"/>
  <c r="J17" i="3" s="1"/>
  <c r="K17" i="3" s="1"/>
  <c r="L16" i="3"/>
  <c r="I16" i="3"/>
  <c r="J16" i="3" s="1"/>
  <c r="K16" i="3" s="1"/>
  <c r="L15" i="3"/>
  <c r="I15" i="3"/>
  <c r="J15" i="3" s="1"/>
  <c r="K15" i="3" s="1"/>
  <c r="L12" i="3"/>
  <c r="I12" i="3"/>
  <c r="J12" i="3" s="1"/>
  <c r="K12" i="3" s="1"/>
  <c r="L8" i="3"/>
  <c r="I8" i="3"/>
  <c r="J8" i="3" s="1"/>
  <c r="K8" i="3" s="1"/>
  <c r="J5" i="3"/>
  <c r="K5" i="3"/>
  <c r="I5" i="4" s="1"/>
  <c r="N28" i="2"/>
  <c r="M28" i="2"/>
  <c r="P28" i="2" s="1"/>
  <c r="N27" i="2"/>
  <c r="M27" i="2"/>
  <c r="Q89" i="9" l="1"/>
  <c r="F21" i="7" s="1"/>
  <c r="N53" i="9"/>
  <c r="N101" i="9" s="1"/>
  <c r="Q100" i="9" s="1"/>
  <c r="N48" i="9"/>
  <c r="J22" i="4"/>
  <c r="F17" i="7"/>
  <c r="N44" i="9"/>
  <c r="Q43" i="9" s="1"/>
  <c r="N41" i="9"/>
  <c r="Q40" i="9" s="1"/>
  <c r="G21" i="4"/>
  <c r="F11" i="7"/>
  <c r="M53" i="9"/>
  <c r="M101" i="9" s="1"/>
  <c r="P100" i="9" s="1"/>
  <c r="M48" i="9"/>
  <c r="D17" i="7"/>
  <c r="L41" i="9"/>
  <c r="O40" i="9" s="1"/>
  <c r="L44" i="9"/>
  <c r="O43" i="9" s="1"/>
  <c r="L53" i="9"/>
  <c r="L101" i="9" s="1"/>
  <c r="O100" i="9" s="1"/>
  <c r="L48" i="9"/>
  <c r="N49" i="9"/>
  <c r="Q48" i="9" s="1"/>
  <c r="N80" i="9"/>
  <c r="N95" i="9" s="1"/>
  <c r="G6" i="4"/>
  <c r="F10" i="7"/>
  <c r="M80" i="9"/>
  <c r="M95" i="9" s="1"/>
  <c r="M49" i="9"/>
  <c r="E6" i="4"/>
  <c r="F11" i="4" s="1"/>
  <c r="E10" i="7"/>
  <c r="L49" i="9"/>
  <c r="L80" i="9"/>
  <c r="L95" i="9" s="1"/>
  <c r="C6" i="4"/>
  <c r="D10" i="7"/>
  <c r="F15" i="7"/>
  <c r="N22" i="9"/>
  <c r="Q21" i="9" s="1"/>
  <c r="E15" i="7"/>
  <c r="M19" i="9"/>
  <c r="P18" i="9" s="1"/>
  <c r="M22" i="9"/>
  <c r="P21" i="9" s="1"/>
  <c r="D15" i="7"/>
  <c r="L19" i="9"/>
  <c r="O18" i="9" s="1"/>
  <c r="L22" i="9"/>
  <c r="O21" i="9" s="1"/>
  <c r="N11" i="9"/>
  <c r="Q10" i="9" s="1"/>
  <c r="F14" i="7" s="1"/>
  <c r="Q8" i="9"/>
  <c r="F13" i="7" s="1"/>
  <c r="M11" i="9"/>
  <c r="P10" i="9" s="1"/>
  <c r="E14" i="7" s="1"/>
  <c r="P8" i="9"/>
  <c r="E13" i="7" s="1"/>
  <c r="L11" i="9"/>
  <c r="O10" i="9" s="1"/>
  <c r="D14" i="7" s="1"/>
  <c r="O8" i="9"/>
  <c r="D13" i="7" s="1"/>
  <c r="P26" i="2"/>
  <c r="P27" i="2"/>
  <c r="E21" i="4"/>
  <c r="E11" i="7"/>
  <c r="C21" i="4"/>
  <c r="D11" i="7"/>
  <c r="G9" i="3"/>
  <c r="H9" i="3" s="1"/>
  <c r="E22" i="2"/>
  <c r="N71" i="9" s="1"/>
  <c r="Q71" i="9" s="1"/>
  <c r="H8" i="3"/>
  <c r="H22" i="3"/>
  <c r="H12" i="3"/>
  <c r="H15" i="3"/>
  <c r="H16" i="3"/>
  <c r="H17" i="3"/>
  <c r="H20" i="3"/>
  <c r="H21" i="3"/>
  <c r="H24" i="3"/>
  <c r="H7" i="3"/>
  <c r="E9" i="3"/>
  <c r="D22" i="2"/>
  <c r="M71" i="9" s="1"/>
  <c r="P71" i="9" s="1"/>
  <c r="C9" i="3"/>
  <c r="C22" i="2"/>
  <c r="L71" i="9" s="1"/>
  <c r="O71" i="9" s="1"/>
  <c r="I18" i="3"/>
  <c r="J18" i="3" s="1"/>
  <c r="K18" i="3" s="1"/>
  <c r="D18" i="3"/>
  <c r="F21" i="3"/>
  <c r="F7" i="3"/>
  <c r="L7" i="3"/>
  <c r="F8" i="3"/>
  <c r="F12" i="3"/>
  <c r="F15" i="3"/>
  <c r="F16" i="3"/>
  <c r="F17" i="3"/>
  <c r="F18" i="3"/>
  <c r="F20" i="3"/>
  <c r="F24" i="3"/>
  <c r="F22" i="3"/>
  <c r="D21" i="3"/>
  <c r="D22" i="3"/>
  <c r="D24" i="3"/>
  <c r="D20" i="3"/>
  <c r="D17" i="3"/>
  <c r="D16" i="3"/>
  <c r="D15" i="3"/>
  <c r="D12" i="3"/>
  <c r="D8" i="3"/>
  <c r="D7" i="3"/>
  <c r="I7" i="3"/>
  <c r="J7" i="4"/>
  <c r="I7" i="4"/>
  <c r="Q30" i="9"/>
  <c r="Q29" i="9"/>
  <c r="P30" i="9"/>
  <c r="P29" i="9"/>
  <c r="O30" i="9"/>
  <c r="O29" i="9"/>
  <c r="P48" i="9" l="1"/>
  <c r="O48" i="9"/>
  <c r="F17" i="4"/>
  <c r="F16" i="4"/>
  <c r="F15" i="4"/>
  <c r="F14" i="4"/>
  <c r="F13" i="4"/>
  <c r="F12" i="4"/>
  <c r="F20" i="4"/>
  <c r="F18" i="4"/>
  <c r="H14" i="4"/>
  <c r="H7" i="4"/>
  <c r="H16" i="4"/>
  <c r="H17" i="4"/>
  <c r="H18" i="4"/>
  <c r="H19" i="4"/>
  <c r="H20" i="4"/>
  <c r="H8" i="4"/>
  <c r="H9" i="4"/>
  <c r="H10" i="4"/>
  <c r="H11" i="4"/>
  <c r="H12" i="4"/>
  <c r="H15" i="4"/>
  <c r="H6" i="4"/>
  <c r="H13" i="4"/>
  <c r="F10" i="4"/>
  <c r="F19" i="4"/>
  <c r="F7" i="4"/>
  <c r="J6" i="4"/>
  <c r="F8" i="4"/>
  <c r="F9" i="4"/>
  <c r="F6" i="4"/>
  <c r="D20" i="4"/>
  <c r="D19" i="4"/>
  <c r="D17" i="4"/>
  <c r="D16" i="4"/>
  <c r="D15" i="4"/>
  <c r="D14" i="4"/>
  <c r="D13" i="4"/>
  <c r="D12" i="4"/>
  <c r="D11" i="4"/>
  <c r="D18" i="4"/>
  <c r="D6" i="4"/>
  <c r="I6" i="4"/>
  <c r="D10" i="4"/>
  <c r="D8" i="4"/>
  <c r="D9" i="4"/>
  <c r="D7" i="4"/>
  <c r="J21" i="4"/>
  <c r="I21" i="4"/>
  <c r="H14" i="3"/>
  <c r="G19" i="3"/>
  <c r="H19" i="3" s="1"/>
  <c r="E26" i="2"/>
  <c r="E29" i="2" s="1"/>
  <c r="F9" i="3"/>
  <c r="L9" i="3"/>
  <c r="E19" i="3"/>
  <c r="D26" i="2"/>
  <c r="D29" i="2" s="1"/>
  <c r="I9" i="3"/>
  <c r="J9" i="3" s="1"/>
  <c r="K9" i="3" s="1"/>
  <c r="D9" i="3"/>
  <c r="C19" i="3"/>
  <c r="C26" i="2"/>
  <c r="F13" i="3"/>
  <c r="D13" i="3"/>
  <c r="J7" i="3"/>
  <c r="E35" i="2" l="1"/>
  <c r="H14" i="6" s="1"/>
  <c r="G26" i="3"/>
  <c r="H26" i="3" s="1"/>
  <c r="D35" i="2"/>
  <c r="G14" i="6" s="1"/>
  <c r="E26" i="3"/>
  <c r="C23" i="3"/>
  <c r="C29" i="2"/>
  <c r="G23" i="3"/>
  <c r="H23" i="3" s="1"/>
  <c r="E28" i="2"/>
  <c r="F10" i="3"/>
  <c r="F14" i="3"/>
  <c r="F19" i="3"/>
  <c r="L19" i="3"/>
  <c r="E23" i="3"/>
  <c r="D28" i="2"/>
  <c r="D14" i="3"/>
  <c r="D10" i="3"/>
  <c r="D19" i="3"/>
  <c r="I19" i="3"/>
  <c r="J19" i="3" s="1"/>
  <c r="K19" i="3" s="1"/>
  <c r="C28" i="2"/>
  <c r="K7" i="3"/>
  <c r="F26" i="3" l="1"/>
  <c r="L26" i="3"/>
  <c r="C35" i="2"/>
  <c r="E14" i="6" s="1"/>
  <c r="G25" i="3"/>
  <c r="E30" i="2"/>
  <c r="N74" i="9" s="1"/>
  <c r="F23" i="3"/>
  <c r="L23" i="3"/>
  <c r="E25" i="3"/>
  <c r="D30" i="2"/>
  <c r="M74" i="9" s="1"/>
  <c r="I23" i="3"/>
  <c r="J23" i="3" s="1"/>
  <c r="K23" i="3" s="1"/>
  <c r="D23" i="3"/>
  <c r="C25" i="3"/>
  <c r="C30" i="2"/>
  <c r="L74" i="9" s="1"/>
  <c r="D26" i="3" l="1"/>
  <c r="I26" i="3"/>
  <c r="J26" i="3" s="1"/>
  <c r="K26" i="3" s="1"/>
  <c r="Q74" i="9"/>
  <c r="N79" i="9"/>
  <c r="P74" i="9"/>
  <c r="M79" i="9"/>
  <c r="L79" i="9"/>
  <c r="O74" i="9"/>
  <c r="H25" i="3"/>
  <c r="H11" i="6"/>
  <c r="G27" i="3"/>
  <c r="H27" i="3" s="1"/>
  <c r="F9" i="7"/>
  <c r="K39" i="2"/>
  <c r="F25" i="3"/>
  <c r="L25" i="3"/>
  <c r="E27" i="3"/>
  <c r="E9" i="7"/>
  <c r="G11" i="6"/>
  <c r="J39" i="2"/>
  <c r="D25" i="3"/>
  <c r="I25" i="3"/>
  <c r="J25" i="3" s="1"/>
  <c r="K25" i="3" s="1"/>
  <c r="F11" i="6"/>
  <c r="C27" i="3"/>
  <c r="D9" i="7"/>
  <c r="I39" i="2"/>
  <c r="Q79" i="9" l="1"/>
  <c r="N84" i="9"/>
  <c r="P79" i="9"/>
  <c r="M84" i="9"/>
  <c r="L84" i="9"/>
  <c r="O79" i="9"/>
  <c r="N58" i="9"/>
  <c r="H15" i="6"/>
  <c r="G36" i="4"/>
  <c r="K36" i="2"/>
  <c r="F27" i="3"/>
  <c r="L27" i="3"/>
  <c r="M58" i="9"/>
  <c r="G15" i="6"/>
  <c r="E36" i="4"/>
  <c r="J36" i="2"/>
  <c r="L58" i="9"/>
  <c r="F15" i="6"/>
  <c r="D27" i="3"/>
  <c r="I27" i="3"/>
  <c r="J27" i="3" s="1"/>
  <c r="C36" i="4"/>
  <c r="I36" i="2"/>
  <c r="N85" i="9" l="1"/>
  <c r="N54" i="9"/>
  <c r="Q53" i="9" s="1"/>
  <c r="F18" i="7" s="1"/>
  <c r="M85" i="9"/>
  <c r="M54" i="9"/>
  <c r="P53" i="9" s="1"/>
  <c r="E18" i="7" s="1"/>
  <c r="L54" i="9"/>
  <c r="O53" i="9" s="1"/>
  <c r="D18" i="7" s="1"/>
  <c r="L85" i="9"/>
  <c r="N63" i="9"/>
  <c r="Q63" i="9" s="1"/>
  <c r="F20" i="7" s="1"/>
  <c r="Q58" i="9"/>
  <c r="F19" i="7" s="1"/>
  <c r="H16" i="6"/>
  <c r="G33" i="4"/>
  <c r="F12" i="7"/>
  <c r="K40" i="2"/>
  <c r="F28" i="3"/>
  <c r="P58" i="9"/>
  <c r="E19" i="7" s="1"/>
  <c r="M63" i="9"/>
  <c r="P63" i="9" s="1"/>
  <c r="E20" i="7" s="1"/>
  <c r="G16" i="6"/>
  <c r="J36" i="4"/>
  <c r="E12" i="7"/>
  <c r="E33" i="4"/>
  <c r="J40" i="2"/>
  <c r="L63" i="9"/>
  <c r="O63" i="9" s="1"/>
  <c r="D20" i="7" s="1"/>
  <c r="O58" i="9"/>
  <c r="D19" i="7" s="1"/>
  <c r="F16" i="6"/>
  <c r="D28" i="3"/>
  <c r="E11" i="6"/>
  <c r="E15" i="6" s="1"/>
  <c r="K27" i="3"/>
  <c r="I36" i="4"/>
  <c r="D12" i="7"/>
  <c r="C33" i="4"/>
  <c r="I40" i="2"/>
  <c r="Q84" i="9" l="1"/>
  <c r="N94" i="9"/>
  <c r="Q94" i="9" s="1"/>
  <c r="G37" i="4"/>
  <c r="K41" i="2"/>
  <c r="K42" i="2"/>
  <c r="P84" i="9"/>
  <c r="M94" i="9"/>
  <c r="P94" i="9" s="1"/>
  <c r="E37" i="4"/>
  <c r="J41" i="2"/>
  <c r="J42" i="2"/>
  <c r="O84" i="9"/>
  <c r="L94" i="9"/>
  <c r="O94" i="9" s="1"/>
  <c r="C37" i="4"/>
  <c r="I41" i="2"/>
  <c r="H42" i="2"/>
  <c r="I42" i="2"/>
  <c r="H41" i="2"/>
  <c r="J33" i="4"/>
  <c r="I33" i="4"/>
  <c r="D24" i="4" l="1"/>
  <c r="D26" i="4"/>
  <c r="D27" i="4"/>
  <c r="H33" i="4"/>
  <c r="H36" i="4"/>
  <c r="H22" i="4"/>
  <c r="H21" i="4"/>
  <c r="H28" i="4"/>
  <c r="H31" i="4"/>
  <c r="H23" i="4"/>
  <c r="H24" i="4"/>
  <c r="D33" i="4"/>
  <c r="D21" i="4"/>
  <c r="D22" i="4"/>
  <c r="D23" i="4"/>
  <c r="H25" i="4"/>
  <c r="H26" i="4"/>
  <c r="H27" i="4"/>
  <c r="H29" i="4"/>
  <c r="H30" i="4"/>
  <c r="H32" i="4"/>
  <c r="H34" i="4"/>
  <c r="H35" i="4"/>
  <c r="H37" i="4"/>
  <c r="F36" i="4"/>
  <c r="F33" i="4"/>
  <c r="F21" i="4"/>
  <c r="F22" i="4"/>
  <c r="F23" i="4"/>
  <c r="F24" i="4"/>
  <c r="F25" i="4"/>
  <c r="F26" i="4"/>
  <c r="F27" i="4"/>
  <c r="F28" i="4"/>
  <c r="F29" i="4"/>
  <c r="F30" i="4"/>
  <c r="F32" i="4"/>
  <c r="F34" i="4"/>
  <c r="F35" i="4"/>
  <c r="F37" i="4"/>
  <c r="J37" i="4"/>
  <c r="F31" i="4"/>
  <c r="D36" i="4"/>
  <c r="D28" i="4"/>
  <c r="D29" i="4"/>
  <c r="D30" i="4"/>
  <c r="D32" i="4"/>
  <c r="D34" i="4"/>
  <c r="D35" i="4"/>
  <c r="D37" i="4"/>
  <c r="I37" i="4"/>
  <c r="D25" i="4"/>
  <c r="D3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Jordan Ralon</author>
  </authors>
  <commentList>
    <comment ref="K7" authorId="0" shapeId="0" xr:uid="{EF95A7BA-5D2A-5E47-A9C9-7E74886BE9EC}">
      <text>
        <r>
          <rPr>
            <b/>
            <sz val="9"/>
            <color rgb="FF000000"/>
            <rFont val="Tahoma"/>
            <family val="2"/>
          </rPr>
          <t xml:space="preserve">+ - 5.00%
</t>
        </r>
        <r>
          <rPr>
            <sz val="9"/>
            <color rgb="FF000000"/>
            <rFont val="Tahoma"/>
            <family val="2"/>
          </rPr>
          <t xml:space="preserve">Idealmente se buscan empresas que tengan una tendencia de
</t>
        </r>
        <r>
          <rPr>
            <sz val="9"/>
            <color rgb="FF000000"/>
            <rFont val="Tahoma"/>
            <family val="2"/>
          </rPr>
          <t xml:space="preserve">crecimiento en ventas. Reducciones importantes son señales de
</t>
        </r>
        <r>
          <rPr>
            <sz val="9"/>
            <color rgb="FF000000"/>
            <rFont val="Tahoma"/>
            <family val="2"/>
          </rPr>
          <t xml:space="preserve">alerta, y también se debe considerarlos motivos de dicho
</t>
        </r>
        <r>
          <rPr>
            <sz val="9"/>
            <color rgb="FF000000"/>
            <rFont val="Tahoma"/>
            <family val="2"/>
          </rPr>
          <t xml:space="preserve">crecimiento, ya que idealmente se busca que exista una mayor
</t>
        </r>
        <r>
          <rPr>
            <sz val="9"/>
            <color rgb="FF000000"/>
            <rFont val="Tahoma"/>
            <family val="2"/>
          </rPr>
          <t>actividad comercial que lo este motivando.</t>
        </r>
      </text>
    </comment>
    <comment ref="D8" authorId="0" shapeId="0" xr:uid="{8083393C-1613-1949-9226-B888A0F1C09E}">
      <text>
        <r>
          <rPr>
            <b/>
            <sz val="9"/>
            <color indexed="81"/>
            <rFont val="Tahoma"/>
            <family val="2"/>
          </rPr>
          <t>&gt;80.00%</t>
        </r>
        <r>
          <rPr>
            <sz val="9"/>
            <color indexed="81"/>
            <rFont val="Tahoma"/>
            <family val="2"/>
          </rPr>
          <t xml:space="preserve">
Un costo de ventas porcentual muy alto puede significar que existe
mucho poder de negociación por parte de los proveedores, y que una
reducción en volúmenes de ventas tendrá una repercusión importante
en la rentabilidad de la empresa.
</t>
        </r>
      </text>
    </comment>
    <comment ref="D9" authorId="0" shapeId="0" xr:uid="{6C2E3D61-5EC8-3F49-975C-304100BA7CE3}">
      <text>
        <r>
          <rPr>
            <b/>
            <sz val="9"/>
            <color indexed="81"/>
            <rFont val="Tahoma"/>
            <family val="2"/>
          </rPr>
          <t>&lt;20.00%</t>
        </r>
        <r>
          <rPr>
            <sz val="9"/>
            <color indexed="81"/>
            <rFont val="Tahoma"/>
            <family val="2"/>
          </rPr>
          <t xml:space="preserve">
El margen bruto se puede comprimir o por precios mas altos en
materias primas o por precios mas bajos en ventas. Es importante
identificar las causas en casos que exista dicha compresión de
márgenes. Empresas con márgenes apretados tendrán que ser mas
eficientes en su operación para preservar rentabilidad.
</t>
        </r>
      </text>
    </comment>
    <comment ref="D12" authorId="0" shapeId="0" xr:uid="{84544E31-5F04-9D43-ACD6-1FF55BBD2478}">
      <text>
        <r>
          <rPr>
            <b/>
            <sz val="9"/>
            <color indexed="81"/>
            <rFont val="Tahoma"/>
            <family val="2"/>
          </rPr>
          <t xml:space="preserve">&gt;3.00%
</t>
        </r>
        <r>
          <rPr>
            <sz val="9"/>
            <color indexed="81"/>
            <rFont val="Tahoma"/>
            <family val="2"/>
          </rPr>
          <t>Mercadeo: El costo de mercadeo debe ser consistente con el
giro del negocio, y generar impacto en ventas.</t>
        </r>
      </text>
    </comment>
    <comment ref="K12" authorId="0" shapeId="0" xr:uid="{C57B3839-A371-E14A-9B19-96FEABF8B32E}">
      <text>
        <r>
          <rPr>
            <b/>
            <sz val="9"/>
            <color indexed="81"/>
            <rFont val="Tahoma"/>
            <family val="2"/>
          </rPr>
          <t>+ - 10.00%</t>
        </r>
        <r>
          <rPr>
            <sz val="9"/>
            <color indexed="81"/>
            <rFont val="Tahoma"/>
            <family val="2"/>
          </rPr>
          <t xml:space="preserve">
Gastos de Ventas o Mercadeo:  Una inversión mas fuerte en mercadeo debería ser consistente
con incremento en ventas.</t>
        </r>
      </text>
    </comment>
    <comment ref="D15" authorId="0" shapeId="0" xr:uid="{11B2C86A-270F-624E-8011-064DD39B3B73}">
      <text>
        <r>
          <rPr>
            <b/>
            <sz val="9"/>
            <color indexed="81"/>
            <rFont val="Tahoma"/>
            <family val="2"/>
          </rPr>
          <t xml:space="preserve">&gt; 5.00%
</t>
        </r>
        <r>
          <rPr>
            <sz val="9"/>
            <color indexed="81"/>
            <rFont val="Tahoma"/>
            <family val="2"/>
          </rPr>
          <t>Salarios: Generalmente es un rubro sumamente importante, y 
debe ser consistente con el numero de empleados y perfil de
los mismos.</t>
        </r>
      </text>
    </comment>
    <comment ref="K15" authorId="0" shapeId="0" xr:uid="{BA07A1F9-1CF4-5D48-9758-5AFBCBB1E569}">
      <text>
        <r>
          <rPr>
            <b/>
            <sz val="9"/>
            <color indexed="81"/>
            <rFont val="Tahoma"/>
            <family val="2"/>
          </rPr>
          <t>+ - 10.00%</t>
        </r>
        <r>
          <rPr>
            <sz val="9"/>
            <color indexed="81"/>
            <rFont val="Tahoma"/>
            <family val="2"/>
          </rPr>
          <t xml:space="preserve">
Un crecimiento en salarios debe ser consistente con
incremento en nomina. Rangos menores a 5% se atribuyen a
ajustes de salario por inflación.</t>
        </r>
      </text>
    </comment>
    <comment ref="D16" authorId="0" shapeId="0" xr:uid="{63E6339F-72E5-E84F-99C0-CB739338F476}">
      <text>
        <r>
          <rPr>
            <b/>
            <sz val="9"/>
            <color indexed="81"/>
            <rFont val="Tahoma"/>
            <family val="2"/>
          </rPr>
          <t xml:space="preserve">&gt;2.00%
</t>
        </r>
        <r>
          <rPr>
            <sz val="9"/>
            <color indexed="81"/>
            <rFont val="Tahoma"/>
            <family val="2"/>
          </rPr>
          <t xml:space="preserve">Honorarios profesionales y/o compensación de Directores: Si es muy elevado puede ser utilizado para desviar fondos de la empresa.
</t>
        </r>
        <r>
          <rPr>
            <b/>
            <sz val="9"/>
            <color indexed="81"/>
            <rFont val="Tahoma"/>
            <family val="2"/>
          </rPr>
          <t>&gt;2.00%</t>
        </r>
        <r>
          <rPr>
            <sz val="9"/>
            <color indexed="81"/>
            <rFont val="Tahoma"/>
            <family val="2"/>
          </rPr>
          <t xml:space="preserve">
Alquileres: Cobra relevancia al ser alquileres a empresas
propias o en caso de financiamiento para compra de activos.</t>
        </r>
      </text>
    </comment>
    <comment ref="K16" authorId="0" shapeId="0" xr:uid="{4F02683D-0434-524D-B9D1-6B657D420F38}">
      <text>
        <r>
          <rPr>
            <b/>
            <sz val="9"/>
            <color indexed="81"/>
            <rFont val="Tahoma"/>
            <family val="2"/>
          </rPr>
          <t>+ - 20.00%</t>
        </r>
        <r>
          <rPr>
            <sz val="9"/>
            <color indexed="81"/>
            <rFont val="Tahoma"/>
            <family val="2"/>
          </rPr>
          <t xml:space="preserve">
Arrendamientos:  Variaciones menores de 5% generalmente se atribuyen a
incrementos anuales.
</t>
        </r>
      </text>
    </comment>
    <comment ref="K17" authorId="0" shapeId="0" xr:uid="{875721D4-55DB-B642-B4C9-C8846ECCB1CE}">
      <text>
        <r>
          <rPr>
            <b/>
            <sz val="9"/>
            <color indexed="81"/>
            <rFont val="Tahoma"/>
            <family val="2"/>
          </rPr>
          <t>+ - 20.00%</t>
        </r>
        <r>
          <rPr>
            <sz val="9"/>
            <color indexed="81"/>
            <rFont val="Tahoma"/>
            <family val="2"/>
          </rPr>
          <t xml:space="preserve">
Depreciaciones: Incrementos deben ser consistentes con inversiones en activos
fijos realizadas.</t>
        </r>
      </text>
    </comment>
    <comment ref="K18" authorId="0" shapeId="0" xr:uid="{C85388CD-FDFD-9B42-86CA-B5AC5F792280}">
      <text>
        <r>
          <rPr>
            <b/>
            <sz val="9"/>
            <color indexed="81"/>
            <rFont val="Tahoma"/>
            <family val="2"/>
          </rPr>
          <t>+ - 10.00%</t>
        </r>
        <r>
          <rPr>
            <sz val="9"/>
            <color indexed="81"/>
            <rFont val="Tahoma"/>
            <family val="2"/>
          </rPr>
          <t xml:space="preserve">
A nivel general Un incremento en costos operativos puede simbolizar
una perdida de eficiencia. Se debe tener cuidado ante un incremento
en costos operativos que no se refleje en mayores ingresos y/o
utilidades ya que señala una perdida de eficiencia en la empresa. Si
existe un crecimiento en costos operativos es importante determinar
los rubros específicos que están incrementándose.</t>
        </r>
      </text>
    </comment>
    <comment ref="D19" authorId="0" shapeId="0" xr:uid="{770A7F8F-DD36-6648-8BD1-1CAC0ED294B3}">
      <text>
        <r>
          <rPr>
            <b/>
            <sz val="9"/>
            <color indexed="81"/>
            <rFont val="Tahoma"/>
            <family val="2"/>
          </rPr>
          <t>&lt;5.00%</t>
        </r>
        <r>
          <rPr>
            <sz val="9"/>
            <color indexed="81"/>
            <rFont val="Tahoma"/>
            <family val="2"/>
          </rPr>
          <t xml:space="preserve">
Representa la utilidad antes de impuestos y rubros fuera de la
actividad comercial de la empresa. Un margen muy ajustado
puede ser de mas alto riesgo.
</t>
        </r>
      </text>
    </comment>
    <comment ref="D20" authorId="0" shapeId="0" xr:uid="{0882A212-A036-D849-9818-5D9DEF2AF1E4}">
      <text>
        <r>
          <rPr>
            <b/>
            <sz val="9"/>
            <color indexed="81"/>
            <rFont val="Tahoma"/>
            <family val="2"/>
          </rPr>
          <t>&lt;10.00%</t>
        </r>
        <r>
          <rPr>
            <sz val="9"/>
            <color indexed="81"/>
            <rFont val="Tahoma"/>
            <family val="2"/>
          </rPr>
          <t xml:space="preserve">
Dado que no se dan por la actividad comercial de la empresa es
importante validar que los mismos no sean muy representativos, y
establecer su recurrencia.
</t>
        </r>
      </text>
    </comment>
    <comment ref="K27" authorId="0" shapeId="0" xr:uid="{A68E28A8-8460-1148-A946-0F083D68C597}">
      <text>
        <r>
          <rPr>
            <b/>
            <sz val="9"/>
            <color indexed="81"/>
            <rFont val="Tahoma"/>
            <family val="2"/>
          </rPr>
          <t>+ - 5.00%</t>
        </r>
        <r>
          <rPr>
            <sz val="9"/>
            <color indexed="81"/>
            <rFont val="Tahoma"/>
            <family val="2"/>
          </rPr>
          <t xml:space="preserve">
La capacidad de generar utilidades se traslada en capacidad de
reinversión en el negocio o distribuciones a los accionistas.
Como mínimo la empresa debería mantener un nivel estable
en sus utilidades. Cuando existen años consecutivos de
reducciones en utilidades son señales de alerta.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Jordan Ralon</author>
  </authors>
  <commentList>
    <comment ref="H8" authorId="0" shapeId="0" xr:uid="{A5B933E7-EDA1-2643-B374-3A0945361BC5}">
      <text>
        <r>
          <rPr>
            <b/>
            <sz val="8"/>
            <color rgb="FF000000"/>
            <rFont val="Tahoma"/>
            <family val="2"/>
          </rPr>
          <t>&gt;80.00%</t>
        </r>
        <r>
          <rPr>
            <sz val="8"/>
            <color rgb="FF000000"/>
            <rFont val="Tahoma"/>
            <family val="2"/>
          </rPr>
          <t xml:space="preserve">
</t>
        </r>
        <r>
          <rPr>
            <sz val="8"/>
            <color rgb="FF000000"/>
            <rFont val="Tahoma"/>
            <family val="2"/>
          </rPr>
          <t>Un costo de ventas porcentual muy alto puede significar que existe mucho poder de negociación por parte de los proveedores, y que una reducción en volúmenes de ventas tendrá una repercusión importante en la rentabilidad de la empresa.</t>
        </r>
        <r>
          <rPr>
            <sz val="9"/>
            <color rgb="FF000000"/>
            <rFont val="Tahoma"/>
            <family val="2"/>
          </rPr>
          <t xml:space="preserve">
</t>
        </r>
      </text>
    </comment>
    <comment ref="H13" authorId="0" shapeId="0" xr:uid="{FB447A08-47E1-9F4C-B1A0-DB4D4271BC77}">
      <text>
        <r>
          <rPr>
            <sz val="8"/>
            <color rgb="FF000000"/>
            <rFont val="Tahoma"/>
            <family val="2"/>
          </rPr>
          <t xml:space="preserve">Interpretación: La Empresa tiene (Resultado Obtenido) una vez que se liquide el Pasivo.
</t>
        </r>
        <r>
          <rPr>
            <sz val="8"/>
            <color rgb="FF000000"/>
            <rFont val="Tahoma"/>
            <family val="2"/>
          </rPr>
          <t xml:space="preserve">
</t>
        </r>
        <r>
          <rPr>
            <sz val="8"/>
            <color rgb="FF000000"/>
            <rFont val="Tahoma"/>
            <family val="2"/>
          </rPr>
          <t>Se supone que en la medida en que los pasivos corrientes sean menores a los activos corrientes, la salud financiera de la empresa para hacer frente a las obligaciones al corto plazo es mayor.</t>
        </r>
      </text>
    </comment>
    <comment ref="H15" authorId="0" shapeId="0" xr:uid="{2D8772EF-C0C3-6D42-9598-1DD35E585A6F}">
      <text>
        <r>
          <rPr>
            <sz val="9"/>
            <color rgb="FF000000"/>
            <rFont val="Tahoma"/>
            <family val="2"/>
          </rPr>
          <t>Indica el tiempo que la empresa mantiene su inventario. Debe ser consistente con el tipo de producto, y se debe tener cautela con el indicador cuando trata de producto perecedero.</t>
        </r>
      </text>
    </comment>
    <comment ref="H16" authorId="0" shapeId="0" xr:uid="{6E221BD5-08C6-754B-A8A1-13B1067926D9}">
      <text>
        <r>
          <rPr>
            <sz val="9"/>
            <color indexed="81"/>
            <rFont val="Tahoma"/>
            <family val="2"/>
          </rPr>
          <t>Debería ser consistente con la política de crédito otorgada a los clientes de la empresa.
Incrementos simbolizan una dificultad en cobranza.</t>
        </r>
      </text>
    </comment>
    <comment ref="H17" authorId="0" shapeId="0" xr:uid="{818CB87A-2A2E-D546-A83B-F5AC9BCDADF6}">
      <text>
        <r>
          <rPr>
            <sz val="9"/>
            <color indexed="81"/>
            <rFont val="Tahoma"/>
            <family val="2"/>
          </rPr>
          <t>Debería ser consistente con la política de crédito de los proveedores. Incrementos pueden indicar atrasos en pagos a proveedores, perjudicando la actividad comercial de la empresa.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Jordan Ralon</author>
  </authors>
  <commentList>
    <comment ref="T8" authorId="0" shapeId="0" xr:uid="{033FBB7B-4D9B-C74A-AFEE-EDEFF60B4920}">
      <text>
        <r>
          <rPr>
            <sz val="9"/>
            <color indexed="81"/>
            <rFont val="Tahoma"/>
            <family val="2"/>
          </rPr>
          <t>Interpretación: La Empresa tiene</t>
        </r>
        <r>
          <rPr>
            <b/>
            <sz val="9"/>
            <color indexed="81"/>
            <rFont val="Tahoma"/>
            <family val="2"/>
          </rPr>
          <t xml:space="preserve"> (Resultado Obtenido)</t>
        </r>
        <r>
          <rPr>
            <sz val="9"/>
            <color indexed="81"/>
            <rFont val="Tahoma"/>
            <family val="2"/>
          </rPr>
          <t xml:space="preserve"> una vez que se liquide el Pasivo.
Se supone que en la medida en que los pasivos corrientes sean menores a los activos corrientes, la salud financiera de la empresa para hacer frente a las obligaciones al corto plazo es mayor.</t>
        </r>
      </text>
    </comment>
    <comment ref="S15" authorId="0" shapeId="0" xr:uid="{C258E8E7-FAB4-C14E-AEA6-CC6033DF5294}">
      <text>
        <r>
          <rPr>
            <sz val="9"/>
            <color indexed="81"/>
            <rFont val="Tahoma"/>
            <family val="2"/>
          </rPr>
          <t>La rotación de inventarios determina el tiempo que tarda en realizarse el inventario, es decir, en venderse. Entre más alta sea la rotación significa que el las mercancías permanecen menos tiempo en el almacén. Entre menor sea el tiempo de estancia de las mercancías en bodega, menor será el Capital de trabajo invertido en los inventarios. Una empresa que venda sus inventarios en un mes, requerirá más recursos que una empresa que venda sus inventarios en una semana.
La rotación de inventarios será más adecuada entre más se aleje de 1.
La interprestación: en realidad este indice depende mucho del negocio.  Ejemplo una empresa que venda productos de consumo diario tendrá rotaciones muy altas, quiza cercanas a 52 veces al año (7 días).  por otra parte, una empresa que venda maquinaria tendrá una rotación muy baja.
La Rotación del Invetario rota (Resultado Obtenido) Veces al año</t>
        </r>
      </text>
    </comment>
    <comment ref="S26" authorId="0" shapeId="0" xr:uid="{17E9FFF4-0FC0-A447-8B76-3CD73854BD95}">
      <text>
        <r>
          <rPr>
            <sz val="9"/>
            <color indexed="81"/>
            <rFont val="Tahoma"/>
            <family val="2"/>
          </rPr>
          <t>Debería ser consistente con la política de crédito otorgada a los clientes de la empresa.
Incrementos simbolizan una dificultad en cobranza.</t>
        </r>
      </text>
    </comment>
    <comment ref="S32" authorId="0" shapeId="0" xr:uid="{76F7E936-F9E6-334C-AEE2-24FA4B891FE3}">
      <text>
        <r>
          <rPr>
            <sz val="9"/>
            <color indexed="81"/>
            <rFont val="Tahoma"/>
            <family val="2"/>
          </rPr>
          <t>La rotación de cartera es un indicador financiero que determina el tiempo en que las cuentas por cobrar toman en convertirse en efectivo, o en otras palabras, es el tiempo que la empresa toma en cobrar la cartera a sus clientes. 
Para el cálculo de la rotación de cartera se toma el valor de las ventas a crédito en un periodo determinado y se divide por el
promedio de las cuentas por cobrar en el mismo periodo.
Interpretación:  El resultado obtenido son los días que tendrá la empresa en recuperar su cartera</t>
        </r>
      </text>
    </comment>
    <comment ref="S37" authorId="0" shapeId="0" xr:uid="{0F402E11-9256-5A4A-9395-ED1ACF6D5D2A}">
      <text>
        <r>
          <rPr>
            <sz val="9"/>
            <color indexed="81"/>
            <rFont val="Tahoma"/>
            <family val="2"/>
          </rPr>
          <t>Debería ser consistente con la política de crédito de los proveedores. Incrementos pueden indicar atrasos en pagos a proveedores, perjudicando la actividad comercial de la empresa.</t>
        </r>
      </text>
    </comment>
    <comment ref="T48" authorId="0" shapeId="0" xr:uid="{092DC049-4AF1-2B4F-89AA-8F0C7B1721DA}">
      <text>
        <r>
          <rPr>
            <sz val="9"/>
            <color indexed="81"/>
            <rFont val="Tahoma"/>
            <family val="2"/>
          </rPr>
          <t xml:space="preserve">Este indicador estima la porción de activos financieros por deuda, es decir, mide la capacidad de endeudamiento por cada Q invertido y el riesgo de que la empresa pase a manos de sus acreedores cuando rebasa la proporción de 0.5 
</t>
        </r>
      </text>
    </comment>
    <comment ref="T53" authorId="0" shapeId="0" xr:uid="{B08BE6E8-DF9A-6F44-8AD8-71F733635D17}">
      <text>
        <r>
          <rPr>
            <sz val="8"/>
            <color indexed="81"/>
            <rFont val="Tahoma"/>
            <family val="2"/>
          </rPr>
          <t xml:space="preserve">Es una medición financiera que analiza la cantidad de capital que entra en forma de deuda o evalúa la capacidad de una empresa para cumplir con sus obligaciones financieras .
Parametros: 
2.5X Créditos Fiduciarios
4x Créditos Hipotecarios
</t>
        </r>
      </text>
    </comment>
    <comment ref="T79" authorId="0" shapeId="0" xr:uid="{95CC3B91-40D5-7B48-BC82-83D5FF745E55}">
      <text>
        <r>
          <rPr>
            <sz val="9"/>
            <color indexed="81"/>
            <rFont val="Tahoma"/>
            <family val="2"/>
          </rPr>
          <t>Determina el retorno sobre el total de activos de una empresa. Tiende a ser mas alto en empresas de servicios y otras con nivel de activos muy bajos y mas bajo en empresas con activos fijos altos (industria, inmobiliaria).</t>
        </r>
      </text>
    </comment>
    <comment ref="T84" authorId="0" shapeId="0" xr:uid="{DCFB13F8-42D8-354D-9344-17E11E5ED7B8}">
      <text>
        <r>
          <rPr>
            <sz val="9"/>
            <color indexed="81"/>
            <rFont val="Tahoma"/>
            <family val="2"/>
          </rPr>
          <t>Determina el retorno sobre el capital de los inversionistas. Un retorno muy bajo puede
representar un costo de oportunidad muy alto para el inversionista, o un nivel de
capitalización muy alto. Un retorno muy alto puede representar un sector atípico , o un
nivel de apalancamiento muy alto.</t>
        </r>
      </text>
    </comment>
    <comment ref="T100" authorId="0" shapeId="0" xr:uid="{696A542F-97CA-044D-9CC1-2866D2BF4237}">
      <text>
        <r>
          <rPr>
            <sz val="8"/>
            <color indexed="81"/>
            <rFont val="Tahoma"/>
            <family val="2"/>
          </rPr>
          <t xml:space="preserve">Interprestación:
Que el 100% de la deuda que tiene la Empresa el </t>
        </r>
        <r>
          <rPr>
            <b/>
            <sz val="8"/>
            <color indexed="81"/>
            <rFont val="Tahoma"/>
            <family val="2"/>
          </rPr>
          <t xml:space="preserve">(Resultado Obtenido) </t>
        </r>
        <r>
          <rPr>
            <sz val="8"/>
            <color indexed="81"/>
            <rFont val="Tahoma"/>
            <family val="2"/>
          </rPr>
          <t>es de corto plazo, esto quiere decir que se debe liquidar en el periodo de 12 meses.</t>
        </r>
      </text>
    </comment>
  </commentList>
</comments>
</file>

<file path=xl/sharedStrings.xml><?xml version="1.0" encoding="utf-8"?>
<sst xmlns="http://schemas.openxmlformats.org/spreadsheetml/2006/main" count="242" uniqueCount="186">
  <si>
    <t>Ganancia neta</t>
  </si>
  <si>
    <t>(+) Depreciación</t>
  </si>
  <si>
    <t>(+) Gasto Financiero</t>
  </si>
  <si>
    <t>(+) Impuestos</t>
  </si>
  <si>
    <t>Ebitda</t>
  </si>
  <si>
    <t>Ebitda (%)</t>
  </si>
  <si>
    <t>Monto</t>
  </si>
  <si>
    <t>Tasa</t>
  </si>
  <si>
    <t>Intereses</t>
  </si>
  <si>
    <t>Capital</t>
  </si>
  <si>
    <t>Estado de Resultados</t>
  </si>
  <si>
    <t>Balance General</t>
  </si>
  <si>
    <t xml:space="preserve">    Suma Total Activos</t>
  </si>
  <si>
    <t>Enero</t>
  </si>
  <si>
    <t xml:space="preserve">    Ingresos</t>
  </si>
  <si>
    <t>Total de Activo Corriente</t>
  </si>
  <si>
    <t>Febrero</t>
  </si>
  <si>
    <t>Ventas / Servicio al Contado</t>
  </si>
  <si>
    <t>Caja y Bancos</t>
  </si>
  <si>
    <t>Marzo</t>
  </si>
  <si>
    <t>Ventas / Servicios al Crédito</t>
  </si>
  <si>
    <t>Clientes</t>
  </si>
  <si>
    <t>Abril</t>
  </si>
  <si>
    <t>Ventas / Servicios</t>
  </si>
  <si>
    <t>Inventario Final</t>
  </si>
  <si>
    <t>Mayo</t>
  </si>
  <si>
    <t xml:space="preserve"> -) Costo de Ventas</t>
  </si>
  <si>
    <t>Cuentas por Cobrar</t>
  </si>
  <si>
    <t>Junio</t>
  </si>
  <si>
    <t>Resultado Bruto</t>
  </si>
  <si>
    <t>Anticipo a Proveedores</t>
  </si>
  <si>
    <t>Julio</t>
  </si>
  <si>
    <t xml:space="preserve">    Gastos y Costos</t>
  </si>
  <si>
    <t>Otros Activos Corrientes</t>
  </si>
  <si>
    <t>Agosto</t>
  </si>
  <si>
    <t>Gastos de Ventas (-)</t>
  </si>
  <si>
    <t>Total Activo No Corriente</t>
  </si>
  <si>
    <t>Septiembre</t>
  </si>
  <si>
    <t>Gastos Administrativos (-)</t>
  </si>
  <si>
    <t>Edificios - Construcciones</t>
  </si>
  <si>
    <t>Octubre</t>
  </si>
  <si>
    <t>Gastos Varios (-)</t>
  </si>
  <si>
    <t>Equipo de Computación</t>
  </si>
  <si>
    <t>Noviembre</t>
  </si>
  <si>
    <t>Depreciaciones (-)</t>
  </si>
  <si>
    <t>Mobiliario y Equipo</t>
  </si>
  <si>
    <t>Diciembre</t>
  </si>
  <si>
    <t>Total de Gastos Operativos</t>
  </si>
  <si>
    <t>Vehículos</t>
  </si>
  <si>
    <t>Ganancia/Perdida Operativa</t>
  </si>
  <si>
    <t>Maquinaria</t>
  </si>
  <si>
    <t>Otros Ingresos</t>
  </si>
  <si>
    <t>Otros Activos No Corrientes</t>
  </si>
  <si>
    <t>Gastos Financieros (-)</t>
  </si>
  <si>
    <t xml:space="preserve">    Suma Total Pasivos</t>
  </si>
  <si>
    <t>Total Ingresos y Gastos No Operativos</t>
  </si>
  <si>
    <t>Total Pasivo Corriente</t>
  </si>
  <si>
    <t>meses</t>
  </si>
  <si>
    <t>Total</t>
  </si>
  <si>
    <t>Ganancia Antes de Impuestos</t>
  </si>
  <si>
    <t>Cuentas por Pagar</t>
  </si>
  <si>
    <t>Reserva Legal (-)</t>
  </si>
  <si>
    <t>Proveedores</t>
  </si>
  <si>
    <t>Utilidad Del Ejercicio</t>
  </si>
  <si>
    <t>Prestamos Bancarios Corto Plazo</t>
  </si>
  <si>
    <t>Provisión Impuesto S/ Renta (-)</t>
  </si>
  <si>
    <t>Otras Cuentas por Pagar</t>
  </si>
  <si>
    <t>Utilidad Neta</t>
  </si>
  <si>
    <t>Otros Pasivos Corriente</t>
  </si>
  <si>
    <t>Total Pasivo No Corriente</t>
  </si>
  <si>
    <t>Datos para Calculo de Coberturas</t>
  </si>
  <si>
    <t>Prestamos Bancarios a Largo Plazo</t>
  </si>
  <si>
    <t>Depreciaciones</t>
  </si>
  <si>
    <t>Documentos por Pagar</t>
  </si>
  <si>
    <t>Gastos Financieros</t>
  </si>
  <si>
    <t>Reservas Indemnizaciones - Prestaciones</t>
  </si>
  <si>
    <t>Impuestos</t>
  </si>
  <si>
    <t>Otros Pasivos No Corrientes</t>
  </si>
  <si>
    <t>Deudas Actuales:</t>
  </si>
  <si>
    <t>Plazo (en Años)</t>
  </si>
  <si>
    <t xml:space="preserve">    Capital</t>
  </si>
  <si>
    <t>Deuda Actual 1</t>
  </si>
  <si>
    <t>Capital Autorizado</t>
  </si>
  <si>
    <t>Deuda Actual 2</t>
  </si>
  <si>
    <t>Reservas</t>
  </si>
  <si>
    <t>Utilidad del Ejercicio</t>
  </si>
  <si>
    <t>Suma Total pasivo y Capital</t>
  </si>
  <si>
    <t xml:space="preserve">Al mes de:  </t>
  </si>
  <si>
    <t>Variaciones Monetarias</t>
  </si>
  <si>
    <t>Rubro</t>
  </si>
  <si>
    <t>%</t>
  </si>
  <si>
    <t>Variación Porcentual Resultado Bruto</t>
  </si>
  <si>
    <t>Variación Porcentual Gastos de Ventas</t>
  </si>
  <si>
    <t>Margen Operativo</t>
  </si>
  <si>
    <t>Variación Porcentual Utilidad Neta</t>
  </si>
  <si>
    <t>Variaciones</t>
  </si>
  <si>
    <t>Ventas Netas</t>
  </si>
  <si>
    <t>Ventas</t>
  </si>
  <si>
    <t>Razón</t>
  </si>
  <si>
    <t>Importancia</t>
  </si>
  <si>
    <t>Ventas / Ingresos</t>
  </si>
  <si>
    <t>Alta</t>
  </si>
  <si>
    <t>Costo de Ventas</t>
  </si>
  <si>
    <t>Total Activos</t>
  </si>
  <si>
    <t>Total Pasivos</t>
  </si>
  <si>
    <t>Total Capital y Patrimonio</t>
  </si>
  <si>
    <t>Capital Neto de Trabajo</t>
  </si>
  <si>
    <t>Índice de Solvencia / Liquidez</t>
  </si>
  <si>
    <t>Rotación de Inventario</t>
  </si>
  <si>
    <t>Rotación de Cuentas Por Cobrar</t>
  </si>
  <si>
    <t>Rotación de Cuentas Por Pagar</t>
  </si>
  <si>
    <t>Deuda Total o Endeudamiento</t>
  </si>
  <si>
    <t>Apalancamiento</t>
  </si>
  <si>
    <t>EBITDA Cobertura Utilidades Sobre Intereses</t>
  </si>
  <si>
    <t>Margen EBITDA</t>
  </si>
  <si>
    <t>Margen de Utilidad Bruta</t>
  </si>
  <si>
    <t>Margen de Utilidad de Operación</t>
  </si>
  <si>
    <t>Margen de Utilidad Neta</t>
  </si>
  <si>
    <t>ROA</t>
  </si>
  <si>
    <t>ROE</t>
  </si>
  <si>
    <t>Prueba Acida</t>
  </si>
  <si>
    <t>Capitalización</t>
  </si>
  <si>
    <t>N/A</t>
  </si>
  <si>
    <t>Necesidad de Capital de Trabajo</t>
  </si>
  <si>
    <t>Pasivo Corriente</t>
  </si>
  <si>
    <t>Mínimo / Máximo</t>
  </si>
  <si>
    <t>(-)</t>
  </si>
  <si>
    <t>=</t>
  </si>
  <si>
    <t>Activo Circulante</t>
  </si>
  <si>
    <t>Debe ser &gt;1</t>
  </si>
  <si>
    <t>Pasivo Circulante</t>
  </si>
  <si>
    <t>Rotación de Inventarios</t>
  </si>
  <si>
    <t>Inventario</t>
  </si>
  <si>
    <t>Rotación de Inventarios en Meses</t>
  </si>
  <si>
    <t>Meses</t>
  </si>
  <si>
    <t>Índice de Rotación</t>
  </si>
  <si>
    <t>Rotación de Inventarios en días</t>
  </si>
  <si>
    <t>Días</t>
  </si>
  <si>
    <t>Rotación de  Cuentas X Cobrar</t>
  </si>
  <si>
    <t>Ventas Netas al Crédito</t>
  </si>
  <si>
    <t>Cuentas X Cobrar Netas</t>
  </si>
  <si>
    <t>Si el periodo medio de cobro es en Meses</t>
  </si>
  <si>
    <t>Si el periodo medido de cobro es en Días</t>
  </si>
  <si>
    <t>Rotación de  Cuentas X Pagar</t>
  </si>
  <si>
    <t>Compras (costo de Ventas)</t>
  </si>
  <si>
    <t>Moderada</t>
  </si>
  <si>
    <t>Cuentas X Pagar Netas</t>
  </si>
  <si>
    <t>Período promedio de pago en meses</t>
  </si>
  <si>
    <t>Período promedio de pago en días</t>
  </si>
  <si>
    <t>Pasivo Total</t>
  </si>
  <si>
    <t>Activos Total</t>
  </si>
  <si>
    <t>2.50x Fid. 4x Hip</t>
  </si>
  <si>
    <t>Capital Social / Patrimonio</t>
  </si>
  <si>
    <t xml:space="preserve">EBITDA Razón de Cobertura </t>
  </si>
  <si>
    <t>Utilidad antes de imptos + Depre</t>
  </si>
  <si>
    <t>Utilidades Sobre Interés</t>
  </si>
  <si>
    <t>Cargo por Intereses</t>
  </si>
  <si>
    <t>Ventas Netas - Costo de Ventas</t>
  </si>
  <si>
    <t>Utilidad de Operación</t>
  </si>
  <si>
    <t>Utilidad después de Impto</t>
  </si>
  <si>
    <t>Rendimiento de la Inversión</t>
  </si>
  <si>
    <t>Activos Totales</t>
  </si>
  <si>
    <t>Rendimiento del Capital Social</t>
  </si>
  <si>
    <t>&gt; 5.00%</t>
  </si>
  <si>
    <t>Capital (Patrimonio Total)</t>
  </si>
  <si>
    <t>Activos Corrientes - Inventarios</t>
  </si>
  <si>
    <t>Mínimo Q.1.00</t>
  </si>
  <si>
    <t>Pasivos Corrientes</t>
  </si>
  <si>
    <t>Calidad de la Deuda</t>
  </si>
  <si>
    <t>Pasivos Totales</t>
  </si>
  <si>
    <t>Inventarios + Cuentas X Cobrar - Cuentas por Pagar X 70%</t>
  </si>
  <si>
    <t>Ingreso de Datos</t>
  </si>
  <si>
    <t>Analisis Comparativo ER</t>
  </si>
  <si>
    <t>EBITDA</t>
  </si>
  <si>
    <t>Earnings before interest, taxes, depreciation and amortization</t>
  </si>
  <si>
    <t>Utilidad antes de intereses, impuestos, depreciacion y amortizacion</t>
  </si>
  <si>
    <t>Muestra la capacidad real de generar utilidades operativas sin el efecto de desiciones financieras, cargas fiscales y politicas de deprec y amort</t>
  </si>
  <si>
    <t xml:space="preserve"> -</t>
  </si>
  <si>
    <t>Analisis Comparativo BG</t>
  </si>
  <si>
    <t>Formulas Razones Financieras</t>
  </si>
  <si>
    <r>
      <t xml:space="preserve">Mide la </t>
    </r>
    <r>
      <rPr>
        <b/>
        <sz val="10"/>
        <color theme="1"/>
        <rFont val="Arial"/>
        <family val="2"/>
      </rPr>
      <t>Rentabilidad Operativa</t>
    </r>
    <r>
      <rPr>
        <sz val="10"/>
        <color theme="1"/>
        <rFont val="Arial"/>
        <family val="2"/>
      </rPr>
      <t xml:space="preserve"> de una empresa antes de considear intereses, impuestos y deprec y amort</t>
    </r>
  </si>
  <si>
    <t>Razones Financieras</t>
  </si>
  <si>
    <r>
      <rPr>
        <b/>
        <sz val="10"/>
        <color theme="3" tint="-0.499984740745262"/>
        <rFont val="Arial"/>
        <family val="2"/>
      </rPr>
      <t>Capital Neto de Trabajo</t>
    </r>
    <r>
      <rPr>
        <sz val="10"/>
        <color theme="3" tint="-0.499984740745262"/>
        <rFont val="Arial"/>
        <family val="2"/>
      </rPr>
      <t xml:space="preserve"> =    Activo Circulante - Pasivo Circulante    =</t>
    </r>
  </si>
  <si>
    <r>
      <rPr>
        <b/>
        <sz val="10"/>
        <color theme="3" tint="-0.499984740745262"/>
        <rFont val="Arial"/>
        <family val="2"/>
      </rPr>
      <t>Índice de  Solvencia / Liquidez</t>
    </r>
    <r>
      <rPr>
        <sz val="10"/>
        <color theme="3" tint="-0.499984740745262"/>
        <rFont val="Arial"/>
        <family val="2"/>
      </rPr>
      <t xml:space="preserve"> =</t>
    </r>
  </si>
  <si>
    <t>Comentarios</t>
  </si>
  <si>
    <t xml:space="preserve">Nombre: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</si>
</sst>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0.0%"/>
    <numFmt numFmtId="166" formatCode="[$-100A]dddd\ d&quot; de &quot;mmmm&quot; de &quot;yyyy;@"/>
    <numFmt numFmtId="167" formatCode="mm/yyyy"/>
    <numFmt numFmtId="168" formatCode="_(&quot;Q&quot;* #,##0_);_(&quot;Q&quot;* \(#,##0\);_(&quot;Q&quot;* &quot;-&quot;_);_(@_)"/>
    <numFmt numFmtId="169" formatCode="_-* #,##0_-;\-* #,##0_-;_-* &quot;-&quot;??_-;_-@_-"/>
  </numFmts>
  <fonts count="37" x14ac:knownFonts="1">
    <font>
      <sz val="12"/>
      <color theme="1"/>
      <name val="Aptos Narrow"/>
      <family val="2"/>
      <scheme val="minor"/>
    </font>
    <font>
      <sz val="12"/>
      <color theme="1"/>
      <name val="Aptos Narrow"/>
      <family val="2"/>
      <scheme val="minor"/>
    </font>
    <font>
      <sz val="8"/>
      <color theme="1"/>
      <name val="Century Gothic"/>
      <family val="2"/>
    </font>
    <font>
      <b/>
      <sz val="8"/>
      <color theme="1"/>
      <name val="Century Gothic"/>
      <family val="2"/>
    </font>
    <font>
      <b/>
      <sz val="14"/>
      <color rgb="FFFF0000"/>
      <name val="Century Gothic"/>
      <family val="2"/>
    </font>
    <font>
      <b/>
      <sz val="8"/>
      <color indexed="81"/>
      <name val="Tahoma"/>
      <family val="2"/>
    </font>
    <font>
      <sz val="8"/>
      <color indexed="81"/>
      <name val="Tahoma"/>
      <family val="2"/>
    </font>
    <font>
      <b/>
      <sz val="9"/>
      <color indexed="81"/>
      <name val="Tahoma"/>
      <family val="2"/>
    </font>
    <font>
      <sz val="9"/>
      <color indexed="81"/>
      <name val="Tahoma"/>
      <family val="2"/>
    </font>
    <font>
      <sz val="10"/>
      <name val="Arial"/>
      <family val="2"/>
    </font>
    <font>
      <b/>
      <sz val="22"/>
      <color theme="1"/>
      <name val="Aptos Narrow"/>
      <scheme val="minor"/>
    </font>
    <font>
      <b/>
      <sz val="22"/>
      <color rgb="FF000000"/>
      <name val="Aptos Narrow"/>
      <scheme val="minor"/>
    </font>
    <font>
      <sz val="12"/>
      <color theme="1"/>
      <name val="Arial"/>
      <family val="2"/>
    </font>
    <font>
      <b/>
      <sz val="22"/>
      <color theme="1"/>
      <name val="Arial"/>
      <family val="2"/>
    </font>
    <font>
      <sz val="8"/>
      <color theme="1"/>
      <name val="Arial"/>
      <family val="2"/>
    </font>
    <font>
      <b/>
      <sz val="8"/>
      <color theme="0"/>
      <name val="Arial"/>
      <family val="2"/>
    </font>
    <font>
      <b/>
      <sz val="10"/>
      <color theme="1"/>
      <name val="Arial"/>
      <family val="2"/>
    </font>
    <font>
      <b/>
      <sz val="11"/>
      <color rgb="FFFF0000"/>
      <name val="Arial"/>
      <family val="2"/>
    </font>
    <font>
      <b/>
      <sz val="14"/>
      <color rgb="FFFF0000"/>
      <name val="Arial"/>
      <family val="2"/>
    </font>
    <font>
      <sz val="11"/>
      <color theme="1"/>
      <name val="Arial"/>
      <family val="2"/>
    </font>
    <font>
      <sz val="9"/>
      <color theme="1"/>
      <name val="Arial"/>
      <family val="2"/>
    </font>
    <font>
      <b/>
      <sz val="10"/>
      <color rgb="FFFF0000"/>
      <name val="Arial"/>
      <family val="2"/>
    </font>
    <font>
      <b/>
      <sz val="10"/>
      <color theme="0"/>
      <name val="Arial"/>
      <family val="2"/>
    </font>
    <font>
      <b/>
      <sz val="9"/>
      <color theme="1"/>
      <name val="Arial"/>
      <family val="2"/>
    </font>
    <font>
      <b/>
      <sz val="22"/>
      <color rgb="FF000000"/>
      <name val="Arial"/>
      <family val="2"/>
    </font>
    <font>
      <b/>
      <sz val="8"/>
      <color rgb="FF000000"/>
      <name val="Tahoma"/>
      <family val="2"/>
    </font>
    <font>
      <sz val="8"/>
      <color rgb="FF000000"/>
      <name val="Tahoma"/>
      <family val="2"/>
    </font>
    <font>
      <sz val="9"/>
      <color rgb="FF000000"/>
      <name val="Tahoma"/>
      <family val="2"/>
    </font>
    <font>
      <b/>
      <sz val="9"/>
      <color theme="3" tint="-0.499984740745262"/>
      <name val="Arial"/>
      <family val="2"/>
    </font>
    <font>
      <sz val="10"/>
      <color theme="3" tint="-0.499984740745262"/>
      <name val="Arial"/>
      <family val="2"/>
    </font>
    <font>
      <b/>
      <sz val="12"/>
      <color theme="1"/>
      <name val="Arial"/>
      <family val="2"/>
    </font>
    <font>
      <sz val="10"/>
      <color theme="1"/>
      <name val="Arial"/>
      <family val="2"/>
    </font>
    <font>
      <b/>
      <sz val="10"/>
      <color theme="3" tint="-0.499984740745262"/>
      <name val="Arial"/>
      <family val="2"/>
    </font>
    <font>
      <b/>
      <sz val="9"/>
      <color theme="0"/>
      <name val="Arial"/>
      <family val="2"/>
    </font>
    <font>
      <sz val="9"/>
      <name val="Arial"/>
      <family val="2"/>
    </font>
    <font>
      <b/>
      <sz val="9"/>
      <color rgb="FFFF0000"/>
      <name val="Arial"/>
      <family val="2"/>
    </font>
    <font>
      <b/>
      <sz val="9"/>
      <color rgb="FF000000"/>
      <name val="Tahoma"/>
      <family val="2"/>
    </font>
  </fonts>
  <fills count="13">
    <fill>
      <patternFill patternType="none"/>
    </fill>
    <fill>
      <patternFill patternType="gray125"/>
    </fill>
    <fill>
      <patternFill patternType="solid">
        <fgColor theme="3"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1"/>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43" fontId="9" fillId="0" borderId="0" applyFill="0" applyBorder="0" applyAlignment="0" applyProtection="0"/>
  </cellStyleXfs>
  <cellXfs count="193">
    <xf numFmtId="0" fontId="0" fillId="0" borderId="0" xfId="0"/>
    <xf numFmtId="0" fontId="0" fillId="0" borderId="0" xfId="0" applyAlignment="1">
      <alignment horizontal="center"/>
    </xf>
    <xf numFmtId="10" fontId="2" fillId="0" borderId="1" xfId="2" applyNumberFormat="1" applyFont="1" applyFill="1" applyBorder="1" applyProtection="1">
      <protection locked="0"/>
    </xf>
    <xf numFmtId="0" fontId="2" fillId="0" borderId="0" xfId="0" applyFont="1" applyAlignment="1">
      <alignment horizontal="left"/>
    </xf>
    <xf numFmtId="0" fontId="2" fillId="0" borderId="0" xfId="0" applyFont="1" applyAlignment="1">
      <alignment horizontal="center"/>
    </xf>
    <xf numFmtId="0" fontId="0" fillId="0" borderId="0" xfId="0" applyAlignment="1">
      <alignment horizontal="right"/>
    </xf>
    <xf numFmtId="0" fontId="2" fillId="0" borderId="0" xfId="0" applyFont="1" applyAlignment="1">
      <alignment horizontal="right"/>
    </xf>
    <xf numFmtId="0" fontId="10" fillId="0" borderId="0" xfId="0" applyFont="1"/>
    <xf numFmtId="0" fontId="11" fillId="0" borderId="0" xfId="0" applyFont="1"/>
    <xf numFmtId="0" fontId="2" fillId="0" borderId="1" xfId="0" applyFont="1" applyBorder="1" applyAlignment="1" applyProtection="1">
      <alignment horizontal="left"/>
      <protection locked="0"/>
    </xf>
    <xf numFmtId="164" fontId="2" fillId="0" borderId="1" xfId="0" applyNumberFormat="1" applyFont="1" applyBorder="1" applyProtection="1">
      <protection locked="0"/>
    </xf>
    <xf numFmtId="164" fontId="2" fillId="0" borderId="1" xfId="0" applyNumberFormat="1" applyFont="1" applyBorder="1"/>
    <xf numFmtId="0" fontId="12" fillId="0" borderId="0" xfId="0" applyFont="1"/>
    <xf numFmtId="0" fontId="13" fillId="0" borderId="0" xfId="0" applyFont="1"/>
    <xf numFmtId="43" fontId="12" fillId="0" borderId="0" xfId="1" applyFont="1" applyProtection="1"/>
    <xf numFmtId="44" fontId="12" fillId="0" borderId="0" xfId="0" applyNumberFormat="1" applyFont="1"/>
    <xf numFmtId="14" fontId="12" fillId="0" borderId="0" xfId="0" applyNumberFormat="1" applyFont="1"/>
    <xf numFmtId="0" fontId="16" fillId="4" borderId="1" xfId="0" applyFont="1" applyFill="1" applyBorder="1" applyAlignment="1">
      <alignment horizontal="left"/>
    </xf>
    <xf numFmtId="0" fontId="15" fillId="0" borderId="0" xfId="0" applyFont="1" applyAlignment="1">
      <alignment horizontal="center" wrapText="1"/>
    </xf>
    <xf numFmtId="0" fontId="17" fillId="0" borderId="0" xfId="0" applyFont="1" applyAlignment="1">
      <alignment horizontal="center"/>
    </xf>
    <xf numFmtId="0" fontId="14" fillId="0" borderId="1" xfId="0" applyFont="1" applyBorder="1" applyAlignment="1" applyProtection="1">
      <alignment horizontal="left"/>
      <protection locked="0"/>
    </xf>
    <xf numFmtId="164" fontId="14" fillId="0" borderId="1" xfId="0" applyNumberFormat="1" applyFont="1" applyBorder="1" applyProtection="1">
      <protection locked="0"/>
    </xf>
    <xf numFmtId="0" fontId="14" fillId="0" borderId="1" xfId="0" applyFont="1" applyBorder="1" applyAlignment="1" applyProtection="1">
      <alignment horizontal="center"/>
      <protection locked="0"/>
    </xf>
    <xf numFmtId="164" fontId="14" fillId="0" borderId="1" xfId="0" applyNumberFormat="1" applyFont="1" applyBorder="1"/>
    <xf numFmtId="10" fontId="14" fillId="0" borderId="1" xfId="2" applyNumberFormat="1" applyFont="1" applyFill="1" applyBorder="1" applyProtection="1">
      <protection locked="0"/>
    </xf>
    <xf numFmtId="43" fontId="17" fillId="0" borderId="0" xfId="1" applyFont="1" applyAlignment="1" applyProtection="1">
      <alignment horizontal="center"/>
    </xf>
    <xf numFmtId="0" fontId="14" fillId="0" borderId="0" xfId="0" applyFont="1" applyAlignment="1">
      <alignment horizontal="left"/>
    </xf>
    <xf numFmtId="164" fontId="14" fillId="0" borderId="0" xfId="0" applyNumberFormat="1" applyFont="1"/>
    <xf numFmtId="0" fontId="14" fillId="0" borderId="0" xfId="0" applyFont="1" applyAlignment="1">
      <alignment horizontal="center"/>
    </xf>
    <xf numFmtId="10" fontId="14" fillId="0" borderId="0" xfId="2" applyNumberFormat="1" applyFont="1" applyFill="1" applyBorder="1" applyProtection="1"/>
    <xf numFmtId="0" fontId="18" fillId="0" borderId="0" xfId="0" applyFont="1"/>
    <xf numFmtId="0" fontId="19" fillId="0" borderId="0" xfId="0" applyFont="1"/>
    <xf numFmtId="43" fontId="19" fillId="0" borderId="0" xfId="1" applyFont="1" applyProtection="1"/>
    <xf numFmtId="165" fontId="19" fillId="0" borderId="0" xfId="1" applyNumberFormat="1" applyFont="1" applyProtection="1"/>
    <xf numFmtId="165" fontId="19" fillId="0" borderId="0" xfId="2" applyNumberFormat="1" applyFont="1" applyProtection="1"/>
    <xf numFmtId="0" fontId="20" fillId="0" borderId="0" xfId="0" applyFont="1" applyAlignment="1">
      <alignment horizontal="right"/>
    </xf>
    <xf numFmtId="43" fontId="14" fillId="0" borderId="0" xfId="1" applyFont="1" applyAlignment="1" applyProtection="1">
      <alignment horizontal="center"/>
    </xf>
    <xf numFmtId="43" fontId="19" fillId="0" borderId="0" xfId="1" applyFont="1"/>
    <xf numFmtId="165" fontId="19" fillId="0" borderId="0" xfId="1" applyNumberFormat="1" applyFont="1"/>
    <xf numFmtId="165" fontId="19" fillId="0" borderId="0" xfId="2" applyNumberFormat="1" applyFont="1"/>
    <xf numFmtId="0" fontId="24" fillId="0" borderId="0" xfId="0" applyFont="1"/>
    <xf numFmtId="43" fontId="0" fillId="0" borderId="0" xfId="0" applyNumberFormat="1"/>
    <xf numFmtId="0" fontId="3" fillId="0" borderId="1" xfId="0" applyFont="1" applyBorder="1" applyAlignment="1">
      <alignment horizontal="left"/>
    </xf>
    <xf numFmtId="2" fontId="3" fillId="0" borderId="1" xfId="0" applyNumberFormat="1" applyFont="1" applyBorder="1" applyAlignment="1">
      <alignment horizontal="center"/>
    </xf>
    <xf numFmtId="0" fontId="4" fillId="0" borderId="4" xfId="0" applyFont="1" applyBorder="1" applyAlignment="1">
      <alignment horizontal="center" vertical="center"/>
    </xf>
    <xf numFmtId="0" fontId="2" fillId="0" borderId="1" xfId="0" applyFont="1" applyBorder="1" applyAlignment="1">
      <alignment horizontal="left"/>
    </xf>
    <xf numFmtId="2" fontId="2" fillId="0" borderId="1" xfId="0" applyNumberFormat="1" applyFont="1" applyBorder="1" applyAlignment="1">
      <alignment horizontal="right"/>
    </xf>
    <xf numFmtId="0" fontId="2" fillId="0" borderId="1" xfId="0" applyFont="1" applyBorder="1" applyAlignment="1">
      <alignment horizontal="center"/>
    </xf>
    <xf numFmtId="10" fontId="2" fillId="0" borderId="1" xfId="0" applyNumberFormat="1" applyFont="1" applyBorder="1" applyAlignment="1">
      <alignment horizontal="right"/>
    </xf>
    <xf numFmtId="169" fontId="2" fillId="0" borderId="1" xfId="1" applyNumberFormat="1" applyFont="1" applyFill="1" applyBorder="1" applyAlignment="1">
      <alignment horizontal="right"/>
    </xf>
    <xf numFmtId="0" fontId="2" fillId="0" borderId="1" xfId="0" applyFont="1" applyBorder="1" applyAlignment="1">
      <alignment horizontal="right"/>
    </xf>
    <xf numFmtId="0" fontId="12" fillId="0" borderId="0" xfId="0" applyFont="1" applyAlignment="1">
      <alignment horizontal="center"/>
    </xf>
    <xf numFmtId="0" fontId="29" fillId="0" borderId="8" xfId="0" applyFont="1" applyBorder="1"/>
    <xf numFmtId="0" fontId="29" fillId="0" borderId="0" xfId="0" applyFont="1"/>
    <xf numFmtId="0" fontId="16" fillId="3" borderId="1" xfId="0" applyFont="1" applyFill="1" applyBorder="1" applyAlignment="1">
      <alignment horizontal="left"/>
    </xf>
    <xf numFmtId="0" fontId="31" fillId="0" borderId="0" xfId="0" applyFont="1"/>
    <xf numFmtId="43" fontId="31" fillId="0" borderId="0" xfId="1" applyFont="1" applyProtection="1"/>
    <xf numFmtId="44" fontId="31" fillId="0" borderId="0" xfId="0" applyNumberFormat="1" applyFont="1"/>
    <xf numFmtId="0" fontId="16" fillId="6" borderId="1" xfId="0" applyFont="1" applyFill="1" applyBorder="1" applyAlignment="1">
      <alignment horizontal="left"/>
    </xf>
    <xf numFmtId="0" fontId="31" fillId="0" borderId="1" xfId="0" applyFont="1" applyBorder="1" applyAlignment="1">
      <alignment horizontal="left"/>
    </xf>
    <xf numFmtId="0" fontId="31" fillId="6" borderId="1" xfId="0" applyFont="1" applyFill="1" applyBorder="1" applyAlignment="1">
      <alignment horizontal="left"/>
    </xf>
    <xf numFmtId="0" fontId="22" fillId="0" borderId="0" xfId="0" applyFont="1" applyAlignment="1">
      <alignment horizontal="center" wrapText="1"/>
    </xf>
    <xf numFmtId="164" fontId="31" fillId="0" borderId="1" xfId="0" applyNumberFormat="1" applyFont="1" applyBorder="1"/>
    <xf numFmtId="0" fontId="31" fillId="0" borderId="0" xfId="0" applyFont="1" applyAlignment="1">
      <alignment horizontal="center"/>
    </xf>
    <xf numFmtId="164" fontId="31" fillId="0" borderId="0" xfId="0" applyNumberFormat="1" applyFont="1"/>
    <xf numFmtId="0" fontId="20" fillId="0" borderId="0" xfId="0" applyFont="1"/>
    <xf numFmtId="0" fontId="23" fillId="0" borderId="1" xfId="0" applyFont="1" applyBorder="1" applyAlignment="1">
      <alignment horizontal="left"/>
    </xf>
    <xf numFmtId="0" fontId="23" fillId="0" borderId="2" xfId="0" applyFont="1" applyBorder="1" applyProtection="1">
      <protection locked="0"/>
    </xf>
    <xf numFmtId="0" fontId="23" fillId="0" borderId="5" xfId="0" applyFont="1" applyBorder="1" applyProtection="1">
      <protection locked="0"/>
    </xf>
    <xf numFmtId="0" fontId="23" fillId="0" borderId="3" xfId="0" applyFont="1" applyBorder="1" applyProtection="1">
      <protection locked="0"/>
    </xf>
    <xf numFmtId="166" fontId="20" fillId="0" borderId="0" xfId="0" applyNumberFormat="1" applyFont="1"/>
    <xf numFmtId="14" fontId="20" fillId="0" borderId="0" xfId="0" applyNumberFormat="1" applyFont="1"/>
    <xf numFmtId="0" fontId="20" fillId="5" borderId="0" xfId="0" applyFont="1" applyFill="1" applyAlignment="1">
      <alignment horizontal="center"/>
    </xf>
    <xf numFmtId="0" fontId="33" fillId="2" borderId="0" xfId="0" applyFont="1" applyFill="1" applyAlignment="1" applyProtection="1">
      <alignment horizontal="center" wrapText="1"/>
      <protection locked="0"/>
    </xf>
    <xf numFmtId="0" fontId="33" fillId="2" borderId="0" xfId="0" applyFont="1" applyFill="1" applyAlignment="1">
      <alignment horizontal="center" wrapText="1"/>
    </xf>
    <xf numFmtId="0" fontId="34" fillId="0" borderId="0" xfId="0" applyFont="1"/>
    <xf numFmtId="167" fontId="20" fillId="0" borderId="0" xfId="0" applyNumberFormat="1" applyFont="1"/>
    <xf numFmtId="168" fontId="20" fillId="3" borderId="6" xfId="0" applyNumberFormat="1" applyFont="1" applyFill="1" applyBorder="1" applyAlignment="1">
      <alignment horizontal="left"/>
    </xf>
    <xf numFmtId="0" fontId="20" fillId="3" borderId="1" xfId="0" applyFont="1" applyFill="1" applyBorder="1" applyAlignment="1" applyProtection="1">
      <alignment horizontal="center"/>
      <protection locked="0"/>
    </xf>
    <xf numFmtId="0" fontId="23" fillId="4" borderId="1" xfId="0" applyFont="1" applyFill="1" applyBorder="1" applyAlignment="1">
      <alignment horizontal="left"/>
    </xf>
    <xf numFmtId="164" fontId="23" fillId="4" borderId="1" xfId="0" applyNumberFormat="1" applyFont="1" applyFill="1" applyBorder="1"/>
    <xf numFmtId="164" fontId="20" fillId="4" borderId="1" xfId="0" applyNumberFormat="1" applyFont="1" applyFill="1" applyBorder="1"/>
    <xf numFmtId="0" fontId="23" fillId="6" borderId="1" xfId="0" applyFont="1" applyFill="1" applyBorder="1" applyAlignment="1">
      <alignment horizontal="left"/>
    </xf>
    <xf numFmtId="164" fontId="20" fillId="6" borderId="1" xfId="0" applyNumberFormat="1" applyFont="1" applyFill="1" applyBorder="1"/>
    <xf numFmtId="0" fontId="20" fillId="0" borderId="1" xfId="0" applyFont="1" applyBorder="1" applyAlignment="1">
      <alignment horizontal="left"/>
    </xf>
    <xf numFmtId="164" fontId="20" fillId="0" borderId="1" xfId="0" applyNumberFormat="1" applyFont="1" applyBorder="1" applyProtection="1">
      <protection locked="0"/>
    </xf>
    <xf numFmtId="0" fontId="20" fillId="6" borderId="1" xfId="0" applyFont="1" applyFill="1" applyBorder="1" applyAlignment="1">
      <alignment horizontal="left"/>
    </xf>
    <xf numFmtId="164" fontId="23" fillId="6" borderId="1" xfId="0" applyNumberFormat="1" applyFont="1" applyFill="1" applyBorder="1"/>
    <xf numFmtId="164" fontId="23" fillId="0" borderId="1" xfId="0" applyNumberFormat="1" applyFont="1" applyBorder="1"/>
    <xf numFmtId="8" fontId="20" fillId="0" borderId="0" xfId="0" applyNumberFormat="1" applyFont="1"/>
    <xf numFmtId="164" fontId="20" fillId="0" borderId="1" xfId="0" applyNumberFormat="1" applyFont="1" applyBorder="1"/>
    <xf numFmtId="0" fontId="28" fillId="3" borderId="1" xfId="0" applyFont="1" applyFill="1" applyBorder="1" applyAlignment="1">
      <alignment horizontal="left"/>
    </xf>
    <xf numFmtId="164" fontId="28" fillId="3" borderId="1" xfId="0" applyNumberFormat="1" applyFont="1" applyFill="1" applyBorder="1" applyAlignment="1">
      <alignment horizontal="center"/>
    </xf>
    <xf numFmtId="0" fontId="20" fillId="0" borderId="1" xfId="0" applyFont="1" applyBorder="1" applyAlignment="1" applyProtection="1">
      <alignment horizontal="center"/>
      <protection locked="0"/>
    </xf>
    <xf numFmtId="10" fontId="20" fillId="0" borderId="1" xfId="2" applyNumberFormat="1" applyFont="1" applyBorder="1" applyProtection="1">
      <protection locked="0"/>
    </xf>
    <xf numFmtId="0" fontId="33" fillId="0" borderId="0" xfId="0" applyFont="1" applyAlignment="1">
      <alignment horizontal="center" wrapText="1"/>
    </xf>
    <xf numFmtId="10" fontId="20" fillId="0" borderId="0" xfId="2" applyNumberFormat="1" applyFont="1" applyBorder="1" applyProtection="1"/>
    <xf numFmtId="0" fontId="35" fillId="0" borderId="0" xfId="0" applyFont="1" applyAlignment="1">
      <alignment horizontal="center"/>
    </xf>
    <xf numFmtId="0" fontId="23" fillId="3" borderId="1" xfId="0" applyFont="1" applyFill="1" applyBorder="1" applyAlignment="1">
      <alignment horizontal="left"/>
    </xf>
    <xf numFmtId="44" fontId="23" fillId="0" borderId="0" xfId="0" applyNumberFormat="1" applyFont="1"/>
    <xf numFmtId="0" fontId="31" fillId="0" borderId="0" xfId="0" applyFont="1" applyAlignment="1">
      <alignment horizontal="right"/>
    </xf>
    <xf numFmtId="43" fontId="31" fillId="0" borderId="0" xfId="1" applyFont="1" applyAlignment="1" applyProtection="1">
      <alignment horizontal="center"/>
    </xf>
    <xf numFmtId="165" fontId="31" fillId="0" borderId="0" xfId="1" applyNumberFormat="1" applyFont="1" applyAlignment="1" applyProtection="1">
      <alignment horizontal="center"/>
    </xf>
    <xf numFmtId="165" fontId="31" fillId="0" borderId="0" xfId="2" applyNumberFormat="1" applyFont="1" applyProtection="1"/>
    <xf numFmtId="168" fontId="16" fillId="6" borderId="1" xfId="0" applyNumberFormat="1" applyFont="1" applyFill="1" applyBorder="1"/>
    <xf numFmtId="168" fontId="31" fillId="6" borderId="1" xfId="0" applyNumberFormat="1" applyFont="1" applyFill="1" applyBorder="1"/>
    <xf numFmtId="165" fontId="31" fillId="6" borderId="1" xfId="2" applyNumberFormat="1" applyFont="1" applyFill="1" applyBorder="1" applyProtection="1"/>
    <xf numFmtId="165" fontId="31" fillId="6" borderId="0" xfId="2" applyNumberFormat="1" applyFont="1" applyFill="1" applyBorder="1" applyProtection="1"/>
    <xf numFmtId="43" fontId="31" fillId="6" borderId="0" xfId="1" applyFont="1" applyFill="1" applyProtection="1"/>
    <xf numFmtId="9" fontId="31" fillId="6" borderId="1" xfId="2" applyFont="1" applyFill="1" applyBorder="1" applyProtection="1"/>
    <xf numFmtId="168" fontId="31" fillId="0" borderId="1" xfId="0" applyNumberFormat="1" applyFont="1" applyBorder="1"/>
    <xf numFmtId="165" fontId="31" fillId="8" borderId="1" xfId="2" applyNumberFormat="1" applyFont="1" applyFill="1" applyBorder="1" applyProtection="1"/>
    <xf numFmtId="43" fontId="31" fillId="9" borderId="0" xfId="1" applyFont="1" applyFill="1" applyProtection="1"/>
    <xf numFmtId="168" fontId="16" fillId="10" borderId="1" xfId="0" applyNumberFormat="1" applyFont="1" applyFill="1" applyBorder="1"/>
    <xf numFmtId="165" fontId="31" fillId="0" borderId="1" xfId="2" applyNumberFormat="1" applyFont="1" applyBorder="1" applyProtection="1"/>
    <xf numFmtId="165" fontId="31" fillId="6" borderId="1" xfId="0" applyNumberFormat="1" applyFont="1" applyFill="1" applyBorder="1"/>
    <xf numFmtId="168" fontId="31" fillId="10" borderId="1" xfId="0" applyNumberFormat="1" applyFont="1" applyFill="1" applyBorder="1"/>
    <xf numFmtId="168" fontId="31" fillId="7" borderId="1" xfId="0" applyNumberFormat="1" applyFont="1" applyFill="1" applyBorder="1"/>
    <xf numFmtId="168" fontId="16" fillId="8" borderId="1" xfId="0" applyNumberFormat="1" applyFont="1" applyFill="1" applyBorder="1"/>
    <xf numFmtId="165" fontId="16" fillId="8" borderId="1" xfId="2" applyNumberFormat="1" applyFont="1" applyFill="1" applyBorder="1" applyProtection="1"/>
    <xf numFmtId="43" fontId="16" fillId="8" borderId="0" xfId="1" applyFont="1" applyFill="1" applyProtection="1"/>
    <xf numFmtId="165" fontId="31" fillId="3" borderId="1" xfId="2" applyNumberFormat="1" applyFont="1" applyFill="1" applyBorder="1" applyProtection="1"/>
    <xf numFmtId="168" fontId="16" fillId="4" borderId="1" xfId="0" applyNumberFormat="1" applyFont="1" applyFill="1" applyBorder="1"/>
    <xf numFmtId="165" fontId="16" fillId="0" borderId="1" xfId="2" applyNumberFormat="1" applyFont="1" applyBorder="1" applyProtection="1"/>
    <xf numFmtId="43" fontId="31" fillId="0" borderId="0" xfId="1" applyFont="1"/>
    <xf numFmtId="0" fontId="22" fillId="2" borderId="0" xfId="0" applyFont="1" applyFill="1" applyAlignment="1">
      <alignment horizontal="center" vertical="center" wrapText="1"/>
    </xf>
    <xf numFmtId="164" fontId="16" fillId="3" borderId="1" xfId="0" applyNumberFormat="1" applyFont="1" applyFill="1" applyBorder="1"/>
    <xf numFmtId="165" fontId="16" fillId="3" borderId="1" xfId="2" applyNumberFormat="1" applyFont="1" applyFill="1" applyBorder="1" applyAlignment="1" applyProtection="1">
      <alignment horizontal="center"/>
    </xf>
    <xf numFmtId="0" fontId="22" fillId="0" borderId="0" xfId="0" applyFont="1" applyAlignment="1">
      <alignment horizontal="center" vertical="center" wrapText="1"/>
    </xf>
    <xf numFmtId="43" fontId="31" fillId="6" borderId="1" xfId="1" applyFont="1" applyFill="1" applyBorder="1" applyAlignment="1" applyProtection="1">
      <alignment horizontal="right"/>
    </xf>
    <xf numFmtId="0" fontId="31" fillId="6" borderId="1" xfId="0" applyFont="1" applyFill="1" applyBorder="1" applyAlignment="1">
      <alignment horizontal="center"/>
    </xf>
    <xf numFmtId="43" fontId="31" fillId="0" borderId="1" xfId="1" applyFont="1" applyFill="1" applyBorder="1" applyAlignment="1" applyProtection="1">
      <alignment horizontal="right"/>
    </xf>
    <xf numFmtId="0" fontId="31" fillId="0" borderId="1" xfId="0" applyFont="1" applyBorder="1" applyAlignment="1">
      <alignment horizontal="center"/>
    </xf>
    <xf numFmtId="43" fontId="31" fillId="6" borderId="1" xfId="0" applyNumberFormat="1" applyFont="1" applyFill="1" applyBorder="1" applyAlignment="1">
      <alignment horizontal="right"/>
    </xf>
    <xf numFmtId="43" fontId="31" fillId="6" borderId="1" xfId="0" applyNumberFormat="1" applyFont="1" applyFill="1" applyBorder="1" applyAlignment="1">
      <alignment horizontal="center"/>
    </xf>
    <xf numFmtId="43" fontId="31" fillId="6" borderId="1" xfId="0" applyNumberFormat="1" applyFont="1" applyFill="1" applyBorder="1" applyAlignment="1">
      <alignment horizontal="left"/>
    </xf>
    <xf numFmtId="43" fontId="31" fillId="0" borderId="1" xfId="0" applyNumberFormat="1" applyFont="1" applyBorder="1" applyAlignment="1">
      <alignment horizontal="right"/>
    </xf>
    <xf numFmtId="43" fontId="31" fillId="0" borderId="1" xfId="0" applyNumberFormat="1" applyFont="1" applyBorder="1" applyAlignment="1">
      <alignment horizontal="center"/>
    </xf>
    <xf numFmtId="43" fontId="31" fillId="0" borderId="1" xfId="0" applyNumberFormat="1" applyFont="1" applyBorder="1" applyAlignment="1">
      <alignment horizontal="left"/>
    </xf>
    <xf numFmtId="43" fontId="31" fillId="0" borderId="0" xfId="0" applyNumberFormat="1" applyFont="1"/>
    <xf numFmtId="10" fontId="31" fillId="6" borderId="1" xfId="0" applyNumberFormat="1" applyFont="1" applyFill="1" applyBorder="1" applyAlignment="1">
      <alignment horizontal="right"/>
    </xf>
    <xf numFmtId="10" fontId="31" fillId="6" borderId="1" xfId="0" applyNumberFormat="1" applyFont="1" applyFill="1" applyBorder="1" applyAlignment="1">
      <alignment horizontal="center"/>
    </xf>
    <xf numFmtId="10" fontId="31" fillId="6" borderId="1" xfId="0" applyNumberFormat="1" applyFont="1" applyFill="1" applyBorder="1" applyAlignment="1">
      <alignment horizontal="left"/>
    </xf>
    <xf numFmtId="0" fontId="22" fillId="2" borderId="0" xfId="0" applyFont="1" applyFill="1" applyAlignment="1">
      <alignment horizontal="right" vertical="center"/>
    </xf>
    <xf numFmtId="0" fontId="16" fillId="3" borderId="0" xfId="0" applyFont="1" applyFill="1" applyAlignment="1">
      <alignment horizontal="center"/>
    </xf>
    <xf numFmtId="0" fontId="31" fillId="0" borderId="10" xfId="0" applyFont="1" applyBorder="1"/>
    <xf numFmtId="0" fontId="31" fillId="0" borderId="11" xfId="0" applyFont="1" applyBorder="1"/>
    <xf numFmtId="0" fontId="31" fillId="0" borderId="11" xfId="0" applyFont="1" applyBorder="1" applyAlignment="1">
      <alignment horizontal="center"/>
    </xf>
    <xf numFmtId="0" fontId="31" fillId="0" borderId="12" xfId="0" applyFont="1" applyBorder="1"/>
    <xf numFmtId="0" fontId="31" fillId="0" borderId="13" xfId="0" applyFont="1" applyBorder="1"/>
    <xf numFmtId="0" fontId="31" fillId="0" borderId="14" xfId="0" applyFont="1" applyBorder="1"/>
    <xf numFmtId="43" fontId="29" fillId="0" borderId="0" xfId="1" applyFont="1" applyBorder="1"/>
    <xf numFmtId="0" fontId="29" fillId="0" borderId="0" xfId="0" applyFont="1" applyAlignment="1">
      <alignment horizontal="center"/>
    </xf>
    <xf numFmtId="43" fontId="32" fillId="0" borderId="0" xfId="1" applyFont="1" applyBorder="1"/>
    <xf numFmtId="43" fontId="32" fillId="0" borderId="0" xfId="1" applyFont="1" applyBorder="1" applyAlignment="1">
      <alignment horizontal="center"/>
    </xf>
    <xf numFmtId="43" fontId="29" fillId="0" borderId="8" xfId="0" applyNumberFormat="1" applyFont="1" applyBorder="1"/>
    <xf numFmtId="43" fontId="32" fillId="0" borderId="0" xfId="1" applyFont="1" applyBorder="1" applyAlignment="1">
      <alignment vertical="center"/>
    </xf>
    <xf numFmtId="43" fontId="32" fillId="0" borderId="0" xfId="1" applyFont="1" applyBorder="1" applyAlignment="1">
      <alignment horizontal="center" vertical="center"/>
    </xf>
    <xf numFmtId="0" fontId="31" fillId="0" borderId="15" xfId="0" applyFont="1" applyBorder="1"/>
    <xf numFmtId="0" fontId="31" fillId="0" borderId="9" xfId="0" applyFont="1" applyBorder="1"/>
    <xf numFmtId="0" fontId="31" fillId="0" borderId="9" xfId="0" applyFont="1" applyBorder="1" applyAlignment="1">
      <alignment horizontal="center"/>
    </xf>
    <xf numFmtId="0" fontId="31" fillId="0" borderId="16" xfId="0" applyFont="1" applyBorder="1"/>
    <xf numFmtId="0" fontId="32" fillId="0" borderId="0" xfId="0" applyFont="1"/>
    <xf numFmtId="0" fontId="31" fillId="0" borderId="8" xfId="0" applyFont="1" applyBorder="1"/>
    <xf numFmtId="169" fontId="29" fillId="0" borderId="8" xfId="0" applyNumberFormat="1" applyFont="1" applyBorder="1"/>
    <xf numFmtId="43" fontId="32" fillId="0" borderId="0" xfId="1" applyFont="1" applyFill="1" applyBorder="1" applyAlignment="1">
      <alignment vertical="center"/>
    </xf>
    <xf numFmtId="43" fontId="32" fillId="0" borderId="0" xfId="1" applyFont="1" applyFill="1" applyBorder="1" applyAlignment="1">
      <alignment horizontal="center" vertical="center"/>
    </xf>
    <xf numFmtId="43" fontId="29" fillId="0" borderId="0" xfId="1" applyFont="1" applyFill="1" applyBorder="1"/>
    <xf numFmtId="10" fontId="32" fillId="0" borderId="0" xfId="2" applyNumberFormat="1" applyFont="1" applyBorder="1" applyAlignment="1">
      <alignment vertical="center"/>
    </xf>
    <xf numFmtId="0" fontId="32" fillId="0" borderId="0" xfId="2" applyNumberFormat="1" applyFont="1" applyBorder="1" applyAlignment="1">
      <alignment horizontal="center" vertical="center"/>
    </xf>
    <xf numFmtId="10" fontId="32" fillId="0" borderId="0" xfId="2" applyNumberFormat="1" applyFont="1" applyBorder="1" applyAlignment="1">
      <alignment horizontal="center" vertical="center"/>
    </xf>
    <xf numFmtId="43" fontId="32" fillId="0" borderId="0" xfId="2" applyNumberFormat="1" applyFont="1" applyBorder="1" applyAlignment="1">
      <alignment vertical="center"/>
    </xf>
    <xf numFmtId="0" fontId="23" fillId="11" borderId="1" xfId="0" applyFont="1" applyFill="1" applyBorder="1" applyAlignment="1">
      <alignment horizontal="left"/>
    </xf>
    <xf numFmtId="164" fontId="23" fillId="11" borderId="1" xfId="0" applyNumberFormat="1" applyFont="1" applyFill="1" applyBorder="1"/>
    <xf numFmtId="0" fontId="22" fillId="12" borderId="0" xfId="0" applyFont="1" applyFill="1" applyAlignment="1">
      <alignment horizontal="center"/>
    </xf>
    <xf numFmtId="0" fontId="22" fillId="12" borderId="0" xfId="1" applyNumberFormat="1" applyFont="1" applyFill="1" applyAlignment="1" applyProtection="1">
      <alignment horizontal="center"/>
    </xf>
    <xf numFmtId="165" fontId="22" fillId="12" borderId="0" xfId="2" applyNumberFormat="1" applyFont="1" applyFill="1" applyAlignment="1" applyProtection="1">
      <alignment horizontal="center"/>
    </xf>
    <xf numFmtId="0" fontId="30" fillId="0" borderId="0" xfId="0" applyFont="1" applyAlignment="1">
      <alignment horizontal="center"/>
    </xf>
    <xf numFmtId="0" fontId="23" fillId="3" borderId="2" xfId="0" applyFont="1" applyFill="1" applyBorder="1" applyAlignment="1">
      <alignment horizontal="left"/>
    </xf>
    <xf numFmtId="0" fontId="23" fillId="3" borderId="5" xfId="0" applyFont="1" applyFill="1" applyBorder="1" applyAlignment="1">
      <alignment horizontal="left"/>
    </xf>
    <xf numFmtId="0" fontId="23" fillId="3" borderId="3" xfId="0" applyFont="1" applyFill="1" applyBorder="1" applyAlignment="1">
      <alignment horizontal="left"/>
    </xf>
    <xf numFmtId="0" fontId="35" fillId="0" borderId="0" xfId="0" applyFont="1" applyAlignment="1">
      <alignment horizontal="center"/>
    </xf>
    <xf numFmtId="0" fontId="18" fillId="0" borderId="7" xfId="0" applyFont="1" applyBorder="1" applyAlignment="1">
      <alignment horizontal="center"/>
    </xf>
    <xf numFmtId="0" fontId="19" fillId="3" borderId="0" xfId="0" applyFont="1" applyFill="1" applyAlignment="1">
      <alignment horizontal="center"/>
    </xf>
    <xf numFmtId="0" fontId="21" fillId="6" borderId="0" xfId="0" applyFont="1" applyFill="1" applyAlignment="1">
      <alignment horizontal="center"/>
    </xf>
    <xf numFmtId="168" fontId="31" fillId="7" borderId="2" xfId="0" applyNumberFormat="1" applyFont="1" applyFill="1" applyBorder="1" applyAlignment="1">
      <alignment horizontal="center"/>
    </xf>
    <xf numFmtId="168" fontId="31" fillId="7" borderId="3" xfId="0" applyNumberFormat="1" applyFont="1" applyFill="1" applyBorder="1" applyAlignment="1">
      <alignment horizontal="center"/>
    </xf>
    <xf numFmtId="168" fontId="16" fillId="6" borderId="2" xfId="0" applyNumberFormat="1" applyFont="1" applyFill="1" applyBorder="1" applyAlignment="1">
      <alignment horizontal="center"/>
    </xf>
    <xf numFmtId="168" fontId="16" fillId="6" borderId="3" xfId="0" applyNumberFormat="1" applyFont="1" applyFill="1"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16" fillId="0" borderId="0" xfId="0" applyFont="1" applyAlignment="1">
      <alignment horizontal="center" wrapText="1"/>
    </xf>
    <xf numFmtId="0" fontId="22" fillId="2" borderId="9" xfId="0" applyFont="1" applyFill="1" applyBorder="1" applyAlignment="1">
      <alignment horizontal="right" vertical="center"/>
    </xf>
  </cellXfs>
  <cellStyles count="5">
    <cellStyle name="Millares" xfId="1" builtinId="3"/>
    <cellStyle name="Millares 2" xfId="4" xr:uid="{DC74B2D3-BF4D-FC4E-8D54-EE498AF78053}"/>
    <cellStyle name="Normal" xfId="0" builtinId="0"/>
    <cellStyle name="Normal 2" xfId="3" xr:uid="{85EDF7A5-B3D0-1F4E-B252-25313FEAE733}"/>
    <cellStyle name="Porcentaje" xfId="2" builtinId="5"/>
  </cellStyles>
  <dxfs count="6">
    <dxf>
      <fill>
        <patternFill>
          <bgColor rgb="FF66FF33"/>
        </patternFill>
      </fill>
    </dxf>
    <dxf>
      <font>
        <color theme="0"/>
      </font>
      <fill>
        <patternFill>
          <bgColor rgb="FFFF0000"/>
        </patternFill>
      </fill>
    </dxf>
    <dxf>
      <fill>
        <patternFill>
          <bgColor rgb="FFFFFF00"/>
        </patternFill>
      </fill>
    </dxf>
    <dxf>
      <fill>
        <patternFill>
          <bgColor rgb="FF66FF33"/>
        </patternFill>
      </fill>
    </dxf>
    <dxf>
      <font>
        <color theme="0"/>
      </font>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250;!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250;!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250;!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250;!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250;!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xdr:col>
      <xdr:colOff>19050</xdr:colOff>
      <xdr:row>3</xdr:row>
      <xdr:rowOff>79603</xdr:rowOff>
    </xdr:to>
    <xdr:pic>
      <xdr:nvPicPr>
        <xdr:cNvPr id="3" name="Imagen 2">
          <a:hlinkClick xmlns:r="http://schemas.openxmlformats.org/officeDocument/2006/relationships" r:id="rId1"/>
          <a:extLst>
            <a:ext uri="{FF2B5EF4-FFF2-40B4-BE49-F238E27FC236}">
              <a16:creationId xmlns:a16="http://schemas.microsoft.com/office/drawing/2014/main" id="{B311D971-B276-B043-85C3-7E8746708B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0"/>
          <a:ext cx="707232" cy="859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2193</xdr:colOff>
      <xdr:row>2</xdr:row>
      <xdr:rowOff>122555</xdr:rowOff>
    </xdr:to>
    <xdr:pic>
      <xdr:nvPicPr>
        <xdr:cNvPr id="2" name="Imagen 1">
          <a:hlinkClick xmlns:r="http://schemas.openxmlformats.org/officeDocument/2006/relationships" r:id="rId1"/>
          <a:extLst>
            <a:ext uri="{FF2B5EF4-FFF2-40B4-BE49-F238E27FC236}">
              <a16:creationId xmlns:a16="http://schemas.microsoft.com/office/drawing/2014/main" id="{0E40816C-4552-BF46-B730-BC3968B188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400" y="0"/>
          <a:ext cx="707232" cy="732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267368</xdr:colOff>
      <xdr:row>0</xdr:row>
      <xdr:rowOff>0</xdr:rowOff>
    </xdr:from>
    <xdr:to>
      <xdr:col>0</xdr:col>
      <xdr:colOff>267368</xdr:colOff>
      <xdr:row>2</xdr:row>
      <xdr:rowOff>129239</xdr:rowOff>
    </xdr:to>
    <xdr:pic>
      <xdr:nvPicPr>
        <xdr:cNvPr id="2" name="Imagen 1">
          <a:hlinkClick xmlns:r="http://schemas.openxmlformats.org/officeDocument/2006/relationships" r:id="rId1"/>
          <a:extLst>
            <a:ext uri="{FF2B5EF4-FFF2-40B4-BE49-F238E27FC236}">
              <a16:creationId xmlns:a16="http://schemas.microsoft.com/office/drawing/2014/main" id="{83E3247C-8EEC-324A-8C57-63F4558065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0"/>
          <a:ext cx="707232" cy="732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342698</xdr:colOff>
      <xdr:row>0</xdr:row>
      <xdr:rowOff>0</xdr:rowOff>
    </xdr:from>
    <xdr:to>
      <xdr:col>1</xdr:col>
      <xdr:colOff>0</xdr:colOff>
      <xdr:row>3</xdr:row>
      <xdr:rowOff>64364</xdr:rowOff>
    </xdr:to>
    <xdr:pic>
      <xdr:nvPicPr>
        <xdr:cNvPr id="3" name="Imagen 2">
          <a:hlinkClick xmlns:r="http://schemas.openxmlformats.org/officeDocument/2006/relationships" r:id="rId1"/>
          <a:extLst>
            <a:ext uri="{FF2B5EF4-FFF2-40B4-BE49-F238E27FC236}">
              <a16:creationId xmlns:a16="http://schemas.microsoft.com/office/drawing/2014/main" id="{8FCF8663-5F47-884C-BFB7-AF63804C64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0"/>
          <a:ext cx="773907" cy="859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2</xdr:row>
      <xdr:rowOff>158524</xdr:rowOff>
    </xdr:to>
    <xdr:pic>
      <xdr:nvPicPr>
        <xdr:cNvPr id="3" name="Imagen 2">
          <a:hlinkClick xmlns:r="http://schemas.openxmlformats.org/officeDocument/2006/relationships" r:id="rId1"/>
          <a:extLst>
            <a:ext uri="{FF2B5EF4-FFF2-40B4-BE49-F238E27FC236}">
              <a16:creationId xmlns:a16="http://schemas.microsoft.com/office/drawing/2014/main" id="{4A41292B-C92A-6C4E-95B6-34508392E9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0"/>
          <a:ext cx="813595" cy="769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0D805-D7C0-9F45-8BDB-E7A76FF95221}">
  <dimension ref="A1:Q52"/>
  <sheetViews>
    <sheetView topLeftCell="B4" zoomScale="161" workbookViewId="0">
      <selection activeCell="J17" sqref="J17"/>
    </sheetView>
  </sheetViews>
  <sheetFormatPr baseColWidth="10" defaultColWidth="0" defaultRowHeight="0" customHeight="1" zeroHeight="1" x14ac:dyDescent="0.2"/>
  <cols>
    <col min="1" max="1" width="4" style="12" customWidth="1"/>
    <col min="2" max="2" width="30.83203125" style="12" customWidth="1"/>
    <col min="3" max="3" width="15.33203125" style="12" customWidth="1"/>
    <col min="4" max="4" width="14.5" style="12" customWidth="1"/>
    <col min="5" max="5" width="15.1640625" style="12" customWidth="1"/>
    <col min="6" max="6" width="3.1640625" style="12" customWidth="1"/>
    <col min="7" max="7" width="3" style="12" customWidth="1"/>
    <col min="8" max="8" width="35.33203125" style="12" customWidth="1"/>
    <col min="9" max="11" width="15.6640625" style="12" customWidth="1"/>
    <col min="12" max="12" width="4.33203125" style="12" customWidth="1"/>
    <col min="13" max="16384" width="11.5" style="12" hidden="1"/>
  </cols>
  <sheetData>
    <row r="1" spans="2:17" ht="16" x14ac:dyDescent="0.2"/>
    <row r="2" spans="2:17" ht="28" x14ac:dyDescent="0.3">
      <c r="B2" s="13" t="s">
        <v>171</v>
      </c>
      <c r="I2" s="14"/>
      <c r="J2" s="14"/>
      <c r="K2" s="14"/>
    </row>
    <row r="3" spans="2:17" ht="16" x14ac:dyDescent="0.2">
      <c r="I3" s="15"/>
      <c r="J3" s="15"/>
      <c r="K3" s="15"/>
      <c r="O3" s="16"/>
      <c r="P3" s="16"/>
    </row>
    <row r="4" spans="2:17" s="65" customFormat="1" ht="12" x14ac:dyDescent="0.15">
      <c r="B4" s="66" t="s">
        <v>185</v>
      </c>
      <c r="D4" s="67"/>
      <c r="E4" s="68"/>
      <c r="F4" s="68"/>
      <c r="G4" s="68"/>
      <c r="H4" s="69"/>
    </row>
    <row r="5" spans="2:17" s="65" customFormat="1" ht="6" customHeight="1" x14ac:dyDescent="0.15"/>
    <row r="6" spans="2:17" s="65" customFormat="1" ht="28.5" customHeight="1" x14ac:dyDescent="0.2">
      <c r="B6" s="177" t="s">
        <v>10</v>
      </c>
      <c r="C6" s="177"/>
      <c r="D6" s="177"/>
      <c r="E6" s="177"/>
      <c r="F6" s="12"/>
      <c r="G6" s="12"/>
      <c r="H6" s="177" t="s">
        <v>11</v>
      </c>
      <c r="I6" s="177"/>
      <c r="J6" s="177"/>
      <c r="K6" s="177"/>
      <c r="N6" s="70"/>
      <c r="O6" s="71"/>
      <c r="P6" s="71"/>
    </row>
    <row r="7" spans="2:17" s="65" customFormat="1" ht="9.75" customHeight="1" x14ac:dyDescent="0.15"/>
    <row r="8" spans="2:17" s="65" customFormat="1" ht="12" x14ac:dyDescent="0.15">
      <c r="B8" s="72"/>
      <c r="C8" s="73">
        <v>2025</v>
      </c>
      <c r="D8" s="73">
        <v>2024</v>
      </c>
      <c r="E8" s="73">
        <v>2023</v>
      </c>
      <c r="H8" s="72"/>
      <c r="I8" s="74">
        <f>+C8</f>
        <v>2025</v>
      </c>
      <c r="J8" s="74">
        <f>+D8</f>
        <v>2024</v>
      </c>
      <c r="K8" s="74">
        <f>+E8</f>
        <v>2023</v>
      </c>
      <c r="M8" s="75"/>
      <c r="N8" s="75"/>
      <c r="P8" s="71"/>
      <c r="Q8" s="76"/>
    </row>
    <row r="9" spans="2:17" s="65" customFormat="1" ht="12" x14ac:dyDescent="0.15">
      <c r="B9" s="77" t="str">
        <f>+CONCATENATE("Ingresar a que Número de Mes el año ",C8)</f>
        <v>Ingresar a que Número de Mes el año 2025</v>
      </c>
      <c r="C9" s="78">
        <v>6</v>
      </c>
      <c r="H9" s="79" t="s">
        <v>12</v>
      </c>
      <c r="I9" s="80">
        <f>+I10+I17</f>
        <v>828000</v>
      </c>
      <c r="J9" s="80">
        <f>+J10+J17</f>
        <v>778000</v>
      </c>
      <c r="K9" s="80">
        <f>+K10+K17</f>
        <v>684000</v>
      </c>
      <c r="M9" s="75">
        <v>1</v>
      </c>
      <c r="N9" s="75" t="s">
        <v>13</v>
      </c>
      <c r="O9" s="75" t="str">
        <f>+IF($C$9=1,N9,IF($C$9=2,N10,IF($C$9=3,N11,IF($C$9=4,N12,IF($C$9=5,N13,IF($C$9=6,N14,IF($C$9=7,N15,IF($C$9=8,N16,IF($C$9=9,N17,IF($C$9=10,N18,IF($C$9=11,N19,IF($C$9=12,N20))))))))))))</f>
        <v>Junio</v>
      </c>
    </row>
    <row r="10" spans="2:17" s="65" customFormat="1" ht="12" x14ac:dyDescent="0.15">
      <c r="B10" s="79" t="s">
        <v>14</v>
      </c>
      <c r="C10" s="81"/>
      <c r="D10" s="81"/>
      <c r="E10" s="81"/>
      <c r="H10" s="82" t="s">
        <v>15</v>
      </c>
      <c r="I10" s="83">
        <f>+SUM(I11:I16)</f>
        <v>428000</v>
      </c>
      <c r="J10" s="83">
        <f t="shared" ref="J10:K10" si="0">+SUM(J11:J16)</f>
        <v>378000</v>
      </c>
      <c r="K10" s="83">
        <f t="shared" si="0"/>
        <v>284000</v>
      </c>
      <c r="M10" s="75">
        <v>2</v>
      </c>
      <c r="N10" s="75" t="s">
        <v>16</v>
      </c>
      <c r="O10" s="75">
        <f>+C8+1</f>
        <v>2026</v>
      </c>
    </row>
    <row r="11" spans="2:17" s="65" customFormat="1" ht="12" x14ac:dyDescent="0.15">
      <c r="B11" s="84" t="s">
        <v>17</v>
      </c>
      <c r="C11" s="85">
        <v>100000</v>
      </c>
      <c r="D11" s="85">
        <v>90000</v>
      </c>
      <c r="E11" s="85">
        <v>75000</v>
      </c>
      <c r="H11" s="84" t="s">
        <v>18</v>
      </c>
      <c r="I11" s="85">
        <v>325000</v>
      </c>
      <c r="J11" s="85">
        <v>285000</v>
      </c>
      <c r="K11" s="85">
        <v>199000</v>
      </c>
      <c r="M11" s="75">
        <v>3</v>
      </c>
      <c r="N11" s="75" t="s">
        <v>19</v>
      </c>
      <c r="O11" s="75"/>
    </row>
    <row r="12" spans="2:17" s="65" customFormat="1" ht="12" x14ac:dyDescent="0.15">
      <c r="B12" s="84" t="s">
        <v>20</v>
      </c>
      <c r="C12" s="85">
        <v>250000</v>
      </c>
      <c r="D12" s="85">
        <v>180000</v>
      </c>
      <c r="E12" s="85">
        <v>125000</v>
      </c>
      <c r="H12" s="84" t="s">
        <v>21</v>
      </c>
      <c r="I12" s="85">
        <v>45000</v>
      </c>
      <c r="J12" s="85">
        <v>48000</v>
      </c>
      <c r="K12" s="85">
        <v>50000</v>
      </c>
      <c r="M12" s="75">
        <v>4</v>
      </c>
      <c r="N12" s="75" t="s">
        <v>22</v>
      </c>
      <c r="O12" s="75"/>
    </row>
    <row r="13" spans="2:17" s="65" customFormat="1" ht="12" x14ac:dyDescent="0.15">
      <c r="B13" s="86" t="s">
        <v>23</v>
      </c>
      <c r="C13" s="83">
        <f>+SUM(C11:C12)</f>
        <v>350000</v>
      </c>
      <c r="D13" s="83">
        <f t="shared" ref="D13:E13" si="1">+SUM(D11:D12)</f>
        <v>270000</v>
      </c>
      <c r="E13" s="83">
        <f t="shared" si="1"/>
        <v>200000</v>
      </c>
      <c r="H13" s="84" t="s">
        <v>24</v>
      </c>
      <c r="I13" s="85">
        <v>50000</v>
      </c>
      <c r="J13" s="85">
        <v>40000</v>
      </c>
      <c r="K13" s="85">
        <v>30000</v>
      </c>
      <c r="M13" s="75">
        <v>5</v>
      </c>
      <c r="N13" s="75" t="s">
        <v>25</v>
      </c>
      <c r="O13" s="75"/>
    </row>
    <row r="14" spans="2:17" s="65" customFormat="1" ht="12" x14ac:dyDescent="0.15">
      <c r="B14" s="84" t="s">
        <v>26</v>
      </c>
      <c r="C14" s="85">
        <f>+C13*0.6</f>
        <v>210000</v>
      </c>
      <c r="D14" s="85">
        <f t="shared" ref="D14:E14" si="2">+D13*0.6</f>
        <v>162000</v>
      </c>
      <c r="E14" s="85">
        <f t="shared" si="2"/>
        <v>120000</v>
      </c>
      <c r="H14" s="84" t="s">
        <v>27</v>
      </c>
      <c r="I14" s="85">
        <v>8000</v>
      </c>
      <c r="J14" s="85">
        <v>5000</v>
      </c>
      <c r="K14" s="85">
        <v>5000</v>
      </c>
      <c r="M14" s="75">
        <v>6</v>
      </c>
      <c r="N14" s="75" t="s">
        <v>28</v>
      </c>
      <c r="O14" s="75"/>
    </row>
    <row r="15" spans="2:17" s="65" customFormat="1" ht="12" x14ac:dyDescent="0.15">
      <c r="B15" s="82" t="s">
        <v>29</v>
      </c>
      <c r="C15" s="87">
        <f>+C13-C14</f>
        <v>140000</v>
      </c>
      <c r="D15" s="87">
        <f t="shared" ref="D15:E15" si="3">+D13-D14</f>
        <v>108000</v>
      </c>
      <c r="E15" s="87">
        <f t="shared" si="3"/>
        <v>80000</v>
      </c>
      <c r="H15" s="84" t="s">
        <v>30</v>
      </c>
      <c r="I15" s="85">
        <v>0</v>
      </c>
      <c r="J15" s="85">
        <v>0</v>
      </c>
      <c r="K15" s="85">
        <v>0</v>
      </c>
      <c r="M15" s="75">
        <v>7</v>
      </c>
      <c r="N15" s="75" t="s">
        <v>31</v>
      </c>
      <c r="O15" s="75"/>
    </row>
    <row r="16" spans="2:17" s="65" customFormat="1" ht="12" x14ac:dyDescent="0.15">
      <c r="B16" s="79" t="s">
        <v>32</v>
      </c>
      <c r="C16" s="81"/>
      <c r="D16" s="81"/>
      <c r="E16" s="81"/>
      <c r="H16" s="84" t="s">
        <v>33</v>
      </c>
      <c r="I16" s="85">
        <v>0</v>
      </c>
      <c r="J16" s="85">
        <v>0</v>
      </c>
      <c r="K16" s="85">
        <v>0</v>
      </c>
      <c r="M16" s="75">
        <v>8</v>
      </c>
      <c r="N16" s="75" t="s">
        <v>34</v>
      </c>
      <c r="O16" s="75"/>
    </row>
    <row r="17" spans="2:16" s="65" customFormat="1" ht="12" x14ac:dyDescent="0.15">
      <c r="B17" s="84" t="s">
        <v>35</v>
      </c>
      <c r="C17" s="85">
        <v>65000</v>
      </c>
      <c r="D17" s="85">
        <v>55000</v>
      </c>
      <c r="E17" s="85">
        <v>30000</v>
      </c>
      <c r="H17" s="82" t="s">
        <v>36</v>
      </c>
      <c r="I17" s="83">
        <f>+SUM(I18:I23)</f>
        <v>400000</v>
      </c>
      <c r="J17" s="83">
        <f t="shared" ref="J17:K17" si="4">+SUM(J18:J23)</f>
        <v>400000</v>
      </c>
      <c r="K17" s="83">
        <f t="shared" si="4"/>
        <v>400000</v>
      </c>
      <c r="M17" s="75">
        <v>9</v>
      </c>
      <c r="N17" s="75" t="s">
        <v>37</v>
      </c>
      <c r="O17" s="75"/>
    </row>
    <row r="18" spans="2:16" s="65" customFormat="1" ht="12" x14ac:dyDescent="0.15">
      <c r="B18" s="84" t="s">
        <v>38</v>
      </c>
      <c r="C18" s="85">
        <v>15000</v>
      </c>
      <c r="D18" s="85">
        <v>12000</v>
      </c>
      <c r="E18" s="85">
        <v>11000</v>
      </c>
      <c r="H18" s="84" t="s">
        <v>39</v>
      </c>
      <c r="I18" s="85">
        <v>0</v>
      </c>
      <c r="J18" s="85">
        <v>0</v>
      </c>
      <c r="K18" s="85">
        <v>0</v>
      </c>
      <c r="M18" s="75">
        <v>10</v>
      </c>
      <c r="N18" s="75" t="s">
        <v>40</v>
      </c>
      <c r="O18" s="75"/>
    </row>
    <row r="19" spans="2:16" s="65" customFormat="1" ht="12" x14ac:dyDescent="0.15">
      <c r="B19" s="84" t="s">
        <v>41</v>
      </c>
      <c r="C19" s="85"/>
      <c r="D19" s="85"/>
      <c r="E19" s="85"/>
      <c r="H19" s="84" t="s">
        <v>42</v>
      </c>
      <c r="I19" s="85">
        <v>0</v>
      </c>
      <c r="J19" s="85">
        <v>0</v>
      </c>
      <c r="K19" s="85">
        <v>0</v>
      </c>
      <c r="M19" s="75">
        <v>11</v>
      </c>
      <c r="N19" s="75" t="s">
        <v>43</v>
      </c>
      <c r="O19" s="75"/>
    </row>
    <row r="20" spans="2:16" s="65" customFormat="1" ht="12" x14ac:dyDescent="0.15">
      <c r="B20" s="84" t="s">
        <v>44</v>
      </c>
      <c r="C20" s="85">
        <v>8000</v>
      </c>
      <c r="D20" s="85">
        <v>8000</v>
      </c>
      <c r="E20" s="85">
        <v>8000</v>
      </c>
      <c r="H20" s="84" t="s">
        <v>45</v>
      </c>
      <c r="I20" s="85">
        <v>200000</v>
      </c>
      <c r="J20" s="85">
        <v>200000</v>
      </c>
      <c r="K20" s="85">
        <v>200000</v>
      </c>
      <c r="M20" s="75">
        <v>12</v>
      </c>
      <c r="N20" s="75" t="s">
        <v>46</v>
      </c>
      <c r="O20" s="75"/>
    </row>
    <row r="21" spans="2:16" s="65" customFormat="1" ht="12" x14ac:dyDescent="0.15">
      <c r="B21" s="66" t="s">
        <v>47</v>
      </c>
      <c r="C21" s="88">
        <f>+SUM(C17:C20)</f>
        <v>88000</v>
      </c>
      <c r="D21" s="88">
        <f>+SUM(D17:D20)</f>
        <v>75000</v>
      </c>
      <c r="E21" s="88">
        <f>+SUM(E17:E20)</f>
        <v>49000</v>
      </c>
      <c r="H21" s="84" t="s">
        <v>48</v>
      </c>
      <c r="I21" s="85">
        <v>0</v>
      </c>
      <c r="J21" s="85">
        <v>0</v>
      </c>
      <c r="K21" s="85">
        <v>0</v>
      </c>
      <c r="M21" s="75"/>
      <c r="N21" s="75"/>
      <c r="O21" s="75"/>
    </row>
    <row r="22" spans="2:16" s="65" customFormat="1" ht="12" x14ac:dyDescent="0.15">
      <c r="B22" s="172" t="s">
        <v>49</v>
      </c>
      <c r="C22" s="173">
        <f>+C15-C21</f>
        <v>52000</v>
      </c>
      <c r="D22" s="173">
        <f>+D15-D21</f>
        <v>33000</v>
      </c>
      <c r="E22" s="173">
        <f>+E15-E21</f>
        <v>31000</v>
      </c>
      <c r="H22" s="84" t="s">
        <v>50</v>
      </c>
      <c r="I22" s="85">
        <v>200000</v>
      </c>
      <c r="J22" s="85">
        <v>200000</v>
      </c>
      <c r="K22" s="85">
        <v>200000</v>
      </c>
      <c r="M22" s="75"/>
      <c r="N22" s="75"/>
      <c r="O22" s="75"/>
    </row>
    <row r="23" spans="2:16" s="65" customFormat="1" ht="16.5" customHeight="1" x14ac:dyDescent="0.15">
      <c r="B23" s="84" t="s">
        <v>51</v>
      </c>
      <c r="C23" s="85"/>
      <c r="D23" s="85"/>
      <c r="E23" s="85"/>
      <c r="H23" s="84" t="s">
        <v>52</v>
      </c>
      <c r="I23" s="85">
        <v>0</v>
      </c>
      <c r="J23" s="85">
        <v>0</v>
      </c>
      <c r="K23" s="85">
        <v>0</v>
      </c>
      <c r="M23" s="75"/>
      <c r="N23" s="75"/>
      <c r="O23" s="75"/>
    </row>
    <row r="24" spans="2:16" s="65" customFormat="1" ht="12" x14ac:dyDescent="0.15">
      <c r="B24" s="84" t="s">
        <v>53</v>
      </c>
      <c r="C24" s="85">
        <v>18000</v>
      </c>
      <c r="D24" s="85">
        <v>18000</v>
      </c>
      <c r="E24" s="85">
        <v>18000</v>
      </c>
      <c r="H24" s="79" t="s">
        <v>54</v>
      </c>
      <c r="I24" s="80">
        <f>+I25+I31</f>
        <v>335000</v>
      </c>
      <c r="J24" s="80">
        <f>+J25+J31</f>
        <v>375000</v>
      </c>
      <c r="K24" s="80">
        <f>+K25+K31</f>
        <v>410000</v>
      </c>
    </row>
    <row r="25" spans="2:16" s="65" customFormat="1" ht="12" x14ac:dyDescent="0.15">
      <c r="B25" s="82" t="s">
        <v>55</v>
      </c>
      <c r="C25" s="83">
        <f>+C23-C24</f>
        <v>-18000</v>
      </c>
      <c r="D25" s="83">
        <f t="shared" ref="D25:E25" si="5">+D23-D24</f>
        <v>-18000</v>
      </c>
      <c r="E25" s="83">
        <f t="shared" si="5"/>
        <v>-18000</v>
      </c>
      <c r="H25" s="82" t="s">
        <v>56</v>
      </c>
      <c r="I25" s="83">
        <f>+SUM(I26:I30)</f>
        <v>35000</v>
      </c>
      <c r="J25" s="83">
        <f t="shared" ref="J25:K25" si="6">+SUM(J26:J30)</f>
        <v>25000</v>
      </c>
      <c r="K25" s="83">
        <f t="shared" si="6"/>
        <v>10000</v>
      </c>
      <c r="M25" s="65" t="s">
        <v>8</v>
      </c>
      <c r="N25" s="65" t="s">
        <v>9</v>
      </c>
      <c r="O25" s="65" t="s">
        <v>57</v>
      </c>
      <c r="P25" s="65" t="s">
        <v>58</v>
      </c>
    </row>
    <row r="26" spans="2:16" s="65" customFormat="1" ht="12" x14ac:dyDescent="0.15">
      <c r="B26" s="82" t="s">
        <v>59</v>
      </c>
      <c r="C26" s="83">
        <f>+C22+C25</f>
        <v>34000</v>
      </c>
      <c r="D26" s="83">
        <f t="shared" ref="D26:E26" si="7">+D22+D25</f>
        <v>15000</v>
      </c>
      <c r="E26" s="83">
        <f t="shared" si="7"/>
        <v>13000</v>
      </c>
      <c r="H26" s="84" t="s">
        <v>60</v>
      </c>
      <c r="I26" s="85">
        <v>0</v>
      </c>
      <c r="J26" s="85">
        <v>0</v>
      </c>
      <c r="K26" s="85">
        <v>0</v>
      </c>
      <c r="M26" s="89" t="e">
        <f>IPMT(F42/12,1,O26,-C42)</f>
        <v>#NUM!</v>
      </c>
      <c r="N26" s="89" t="e">
        <f>PPMT(F42/12,1,O26,-C42)</f>
        <v>#NUM!</v>
      </c>
      <c r="O26" s="65">
        <f>+D42*12</f>
        <v>0</v>
      </c>
      <c r="P26" s="89" t="e">
        <f>+M26+N26</f>
        <v>#NUM!</v>
      </c>
    </row>
    <row r="27" spans="2:16" s="65" customFormat="1" ht="12" x14ac:dyDescent="0.15">
      <c r="B27" s="84" t="s">
        <v>61</v>
      </c>
      <c r="C27" s="85">
        <v>5000</v>
      </c>
      <c r="D27" s="85">
        <v>3000</v>
      </c>
      <c r="E27" s="85">
        <v>2000</v>
      </c>
      <c r="H27" s="84" t="s">
        <v>62</v>
      </c>
      <c r="I27" s="85">
        <v>35000</v>
      </c>
      <c r="J27" s="85">
        <v>25000</v>
      </c>
      <c r="K27" s="85">
        <v>10000</v>
      </c>
      <c r="M27" s="89" t="e">
        <f>IPMT(F43/12,1,O27,-C43)</f>
        <v>#NUM!</v>
      </c>
      <c r="N27" s="89" t="e">
        <f>PPMT(F43/12,1,O27,-C43)</f>
        <v>#NUM!</v>
      </c>
      <c r="O27" s="65">
        <f>+D43*12</f>
        <v>0</v>
      </c>
      <c r="P27" s="89" t="e">
        <f t="shared" ref="P27:P28" si="8">+M27+N27</f>
        <v>#NUM!</v>
      </c>
    </row>
    <row r="28" spans="2:16" s="65" customFormat="1" ht="12" x14ac:dyDescent="0.15">
      <c r="B28" s="82" t="s">
        <v>63</v>
      </c>
      <c r="C28" s="83">
        <f>+C26-C27</f>
        <v>29000</v>
      </c>
      <c r="D28" s="83">
        <f>+D26-D27</f>
        <v>12000</v>
      </c>
      <c r="E28" s="83">
        <f>+E26-E27</f>
        <v>11000</v>
      </c>
      <c r="H28" s="84" t="s">
        <v>64</v>
      </c>
      <c r="I28" s="85">
        <v>0</v>
      </c>
      <c r="J28" s="85">
        <v>0</v>
      </c>
      <c r="K28" s="85">
        <v>0</v>
      </c>
      <c r="M28" s="89" t="e">
        <f>IPMT(#REF!/12,1,O28,-#REF!)</f>
        <v>#REF!</v>
      </c>
      <c r="N28" s="89" t="e">
        <f>PPMT(#REF!/12,1,O28,-#REF!)</f>
        <v>#REF!</v>
      </c>
      <c r="O28" s="65" t="e">
        <f>+#REF!*12</f>
        <v>#REF!</v>
      </c>
      <c r="P28" s="89" t="e">
        <f t="shared" si="8"/>
        <v>#REF!</v>
      </c>
    </row>
    <row r="29" spans="2:16" s="65" customFormat="1" ht="12" x14ac:dyDescent="0.15">
      <c r="B29" s="84" t="s">
        <v>65</v>
      </c>
      <c r="C29" s="85">
        <f>+C26*0.25</f>
        <v>8500</v>
      </c>
      <c r="D29" s="85">
        <f t="shared" ref="D29:E29" si="9">+D26*0.25</f>
        <v>3750</v>
      </c>
      <c r="E29" s="85">
        <f t="shared" si="9"/>
        <v>3250</v>
      </c>
      <c r="H29" s="84" t="s">
        <v>66</v>
      </c>
      <c r="I29" s="85"/>
      <c r="J29" s="85"/>
      <c r="K29" s="85"/>
    </row>
    <row r="30" spans="2:16" s="65" customFormat="1" ht="12" x14ac:dyDescent="0.15">
      <c r="B30" s="172" t="s">
        <v>67</v>
      </c>
      <c r="C30" s="173">
        <f>+C28-C29</f>
        <v>20500</v>
      </c>
      <c r="D30" s="173">
        <f t="shared" ref="D30:E30" si="10">+D28-D29</f>
        <v>8250</v>
      </c>
      <c r="E30" s="173">
        <f t="shared" si="10"/>
        <v>7750</v>
      </c>
      <c r="H30" s="84" t="s">
        <v>68</v>
      </c>
      <c r="I30" s="85"/>
      <c r="J30" s="85"/>
      <c r="K30" s="85"/>
    </row>
    <row r="31" spans="2:16" s="65" customFormat="1" ht="12" x14ac:dyDescent="0.15">
      <c r="B31" s="84"/>
      <c r="C31" s="90"/>
      <c r="D31" s="90"/>
      <c r="E31" s="90"/>
      <c r="H31" s="82" t="s">
        <v>69</v>
      </c>
      <c r="I31" s="83">
        <f>+SUM(I32:I35)</f>
        <v>300000</v>
      </c>
      <c r="J31" s="83">
        <f t="shared" ref="J31:K31" si="11">+SUM(J32:J35)</f>
        <v>350000</v>
      </c>
      <c r="K31" s="83">
        <f t="shared" si="11"/>
        <v>400000</v>
      </c>
    </row>
    <row r="32" spans="2:16" s="65" customFormat="1" ht="12" x14ac:dyDescent="0.15">
      <c r="B32" s="178" t="s">
        <v>70</v>
      </c>
      <c r="C32" s="179"/>
      <c r="D32" s="179"/>
      <c r="E32" s="180"/>
      <c r="H32" s="84" t="s">
        <v>71</v>
      </c>
      <c r="I32" s="85">
        <v>300000</v>
      </c>
      <c r="J32" s="85">
        <v>350000</v>
      </c>
      <c r="K32" s="85">
        <v>400000</v>
      </c>
    </row>
    <row r="33" spans="2:11" s="65" customFormat="1" ht="12" x14ac:dyDescent="0.15">
      <c r="B33" s="84" t="s">
        <v>72</v>
      </c>
      <c r="C33" s="85">
        <v>8000</v>
      </c>
      <c r="D33" s="85">
        <v>8000</v>
      </c>
      <c r="E33" s="85">
        <v>8000</v>
      </c>
      <c r="H33" s="84" t="s">
        <v>73</v>
      </c>
      <c r="I33" s="85"/>
      <c r="J33" s="85"/>
      <c r="K33" s="85"/>
    </row>
    <row r="34" spans="2:11" s="65" customFormat="1" ht="12" x14ac:dyDescent="0.15">
      <c r="B34" s="84" t="s">
        <v>74</v>
      </c>
      <c r="C34" s="85">
        <v>18000</v>
      </c>
      <c r="D34" s="85">
        <v>18000</v>
      </c>
      <c r="E34" s="85">
        <v>18000</v>
      </c>
      <c r="H34" s="84" t="s">
        <v>75</v>
      </c>
      <c r="I34" s="85"/>
      <c r="J34" s="85"/>
      <c r="K34" s="85"/>
    </row>
    <row r="35" spans="2:11" s="65" customFormat="1" ht="12" x14ac:dyDescent="0.15">
      <c r="B35" s="84" t="s">
        <v>76</v>
      </c>
      <c r="C35" s="85">
        <f>+C29</f>
        <v>8500</v>
      </c>
      <c r="D35" s="85">
        <f t="shared" ref="D35:E35" si="12">+D29</f>
        <v>3750</v>
      </c>
      <c r="E35" s="85">
        <f t="shared" si="12"/>
        <v>3250</v>
      </c>
      <c r="H35" s="84" t="s">
        <v>77</v>
      </c>
      <c r="I35" s="85"/>
      <c r="J35" s="85"/>
      <c r="K35" s="85"/>
    </row>
    <row r="36" spans="2:11" s="65" customFormat="1" ht="12" x14ac:dyDescent="0.15">
      <c r="B36" s="91" t="s">
        <v>78</v>
      </c>
      <c r="C36" s="92" t="s">
        <v>6</v>
      </c>
      <c r="D36" s="92" t="s">
        <v>79</v>
      </c>
      <c r="E36" s="92" t="s">
        <v>7</v>
      </c>
      <c r="H36" s="79" t="s">
        <v>80</v>
      </c>
      <c r="I36" s="80">
        <f>+I37+I38+I39</f>
        <v>493000</v>
      </c>
      <c r="J36" s="80">
        <f t="shared" ref="J36:K36" si="13">+J37+J38+J39</f>
        <v>403000</v>
      </c>
      <c r="K36" s="80">
        <f t="shared" si="13"/>
        <v>274000</v>
      </c>
    </row>
    <row r="37" spans="2:11" s="65" customFormat="1" ht="12" x14ac:dyDescent="0.15">
      <c r="B37" s="84" t="s">
        <v>81</v>
      </c>
      <c r="C37" s="85"/>
      <c r="D37" s="93"/>
      <c r="E37" s="94"/>
      <c r="H37" s="84" t="s">
        <v>82</v>
      </c>
      <c r="I37" s="85">
        <v>472500</v>
      </c>
      <c r="J37" s="85">
        <v>394750</v>
      </c>
      <c r="K37" s="85">
        <v>266250</v>
      </c>
    </row>
    <row r="38" spans="2:11" s="65" customFormat="1" ht="12" x14ac:dyDescent="0.15">
      <c r="B38" s="84" t="s">
        <v>83</v>
      </c>
      <c r="C38" s="85"/>
      <c r="D38" s="93"/>
      <c r="E38" s="94"/>
      <c r="G38" s="95"/>
      <c r="H38" s="84" t="s">
        <v>84</v>
      </c>
      <c r="I38" s="85"/>
      <c r="J38" s="85"/>
      <c r="K38" s="85"/>
    </row>
    <row r="39" spans="2:11" s="65" customFormat="1" ht="12" x14ac:dyDescent="0.15">
      <c r="G39" s="96"/>
      <c r="H39" s="84" t="s">
        <v>85</v>
      </c>
      <c r="I39" s="81">
        <f>+C30</f>
        <v>20500</v>
      </c>
      <c r="J39" s="81">
        <f>+D30</f>
        <v>8250</v>
      </c>
      <c r="K39" s="81">
        <f>+E30</f>
        <v>7750</v>
      </c>
    </row>
    <row r="40" spans="2:11" s="65" customFormat="1" ht="12" x14ac:dyDescent="0.15">
      <c r="B40" s="181"/>
      <c r="C40" s="181"/>
      <c r="D40" s="181"/>
      <c r="E40" s="181"/>
      <c r="F40" s="181"/>
      <c r="G40" s="96"/>
      <c r="H40" s="98" t="s">
        <v>86</v>
      </c>
      <c r="I40" s="88">
        <f>+I36+I24</f>
        <v>828000</v>
      </c>
      <c r="J40" s="88">
        <f>+J36+J24</f>
        <v>778000</v>
      </c>
      <c r="K40" s="88">
        <f>+K36+K24</f>
        <v>684000</v>
      </c>
    </row>
    <row r="41" spans="2:11" s="65" customFormat="1" ht="12" x14ac:dyDescent="0.15">
      <c r="B41" s="95"/>
      <c r="C41" s="95"/>
      <c r="D41" s="95"/>
      <c r="E41" s="95"/>
      <c r="F41" s="95"/>
      <c r="G41" s="96"/>
      <c r="H41" s="97" t="str">
        <f>+IF((I40-I9)&gt;0,"* * * No Cuadra * * *","")</f>
        <v/>
      </c>
      <c r="I41" s="99" t="str">
        <f>+IF((I40-I9)&gt;0,(I40-I9),"")</f>
        <v/>
      </c>
      <c r="J41" s="99" t="str">
        <f>+IF((J40-J9)&gt;0,(J40-J9),"")</f>
        <v/>
      </c>
      <c r="K41" s="99" t="str">
        <f>+IF((K40-K9)&gt;0,(K40-K9),"")</f>
        <v/>
      </c>
    </row>
    <row r="42" spans="2:11" ht="16" x14ac:dyDescent="0.2">
      <c r="B42" s="20"/>
      <c r="C42" s="21"/>
      <c r="D42" s="22"/>
      <c r="E42" s="23"/>
      <c r="F42" s="24"/>
      <c r="H42" s="19" t="str">
        <f>+IF((I40-I9)&lt;0,"* * * No Cuadra * * *","")</f>
        <v/>
      </c>
      <c r="I42" s="25" t="str">
        <f>+IF((I40-I9)&lt;0,(I40-I9),"")</f>
        <v/>
      </c>
      <c r="J42" s="25" t="str">
        <f>+IF((J40-J9)&lt;0,(J40-J9),"")</f>
        <v/>
      </c>
      <c r="K42" s="25" t="str">
        <f>+IF((K40-K9)&lt;0,(K40-K9),"")</f>
        <v/>
      </c>
    </row>
    <row r="43" spans="2:11" ht="16" x14ac:dyDescent="0.2">
      <c r="B43" s="20"/>
      <c r="C43" s="21"/>
      <c r="D43" s="22"/>
      <c r="E43" s="23"/>
      <c r="F43" s="24"/>
      <c r="H43" s="19"/>
      <c r="I43" s="25"/>
      <c r="J43" s="25"/>
      <c r="K43" s="25"/>
    </row>
    <row r="44" spans="2:11" ht="9.75" customHeight="1" x14ac:dyDescent="0.2">
      <c r="B44" s="26"/>
      <c r="C44" s="27"/>
      <c r="D44" s="28"/>
      <c r="E44" s="27"/>
      <c r="F44" s="29"/>
      <c r="H44" s="19"/>
      <c r="I44" s="18"/>
      <c r="J44" s="18"/>
      <c r="K44" s="18"/>
    </row>
    <row r="45" spans="2:11" ht="18" x14ac:dyDescent="0.2">
      <c r="B45" s="182"/>
      <c r="C45" s="182"/>
      <c r="D45" s="30"/>
      <c r="E45" s="30"/>
      <c r="F45" s="30"/>
      <c r="H45" s="19"/>
      <c r="I45" s="18"/>
      <c r="J45" s="18"/>
      <c r="K45" s="18"/>
    </row>
    <row r="46" spans="2:11" ht="16" x14ac:dyDescent="0.2">
      <c r="B46" s="23"/>
      <c r="C46" s="21"/>
    </row>
    <row r="47" spans="2:11" ht="16" x14ac:dyDescent="0.2">
      <c r="B47" s="23"/>
      <c r="C47" s="21"/>
      <c r="D47" s="28"/>
      <c r="E47" s="27"/>
      <c r="F47" s="29"/>
      <c r="H47" s="19"/>
      <c r="I47" s="18"/>
      <c r="J47" s="18"/>
      <c r="K47" s="18"/>
    </row>
    <row r="48" spans="2:11" ht="16" x14ac:dyDescent="0.2">
      <c r="B48" s="23"/>
      <c r="C48" s="21"/>
      <c r="D48" s="28"/>
      <c r="E48" s="27"/>
      <c r="F48" s="29"/>
      <c r="H48" s="19"/>
      <c r="I48" s="18"/>
      <c r="J48" s="18"/>
      <c r="K48" s="18"/>
    </row>
    <row r="49" spans="2:11" ht="16" x14ac:dyDescent="0.2">
      <c r="B49" s="26"/>
      <c r="C49" s="27"/>
      <c r="D49" s="28"/>
      <c r="E49" s="27"/>
      <c r="F49" s="29"/>
      <c r="H49" s="19"/>
      <c r="I49" s="18"/>
      <c r="J49" s="18"/>
      <c r="K49" s="18"/>
    </row>
    <row r="50" spans="2:11" ht="16" hidden="1" x14ac:dyDescent="0.2">
      <c r="B50" s="26"/>
      <c r="C50" s="27"/>
      <c r="D50" s="28"/>
      <c r="E50" s="27"/>
      <c r="F50" s="29"/>
      <c r="H50" s="19"/>
      <c r="I50" s="18"/>
      <c r="J50" s="18"/>
      <c r="K50" s="18"/>
    </row>
    <row r="51" spans="2:11" ht="16" hidden="1" x14ac:dyDescent="0.2">
      <c r="B51" s="26"/>
      <c r="C51" s="27"/>
      <c r="D51" s="28"/>
      <c r="E51" s="27"/>
      <c r="F51" s="29"/>
      <c r="H51" s="19"/>
      <c r="I51" s="18"/>
      <c r="J51" s="18"/>
      <c r="K51" s="18"/>
    </row>
    <row r="52" spans="2:11" ht="16" hidden="1" x14ac:dyDescent="0.2">
      <c r="H52" s="26"/>
      <c r="I52" s="27"/>
      <c r="J52" s="27"/>
      <c r="K52" s="27"/>
    </row>
  </sheetData>
  <mergeCells count="5">
    <mergeCell ref="B6:E6"/>
    <mergeCell ref="H6:K6"/>
    <mergeCell ref="B32:E32"/>
    <mergeCell ref="B40:F40"/>
    <mergeCell ref="B45:C45"/>
  </mergeCells>
  <dataValidations count="1">
    <dataValidation type="list" allowBlank="1" showInputMessage="1" showErrorMessage="1" sqref="C9" xr:uid="{2DF4B030-B9CA-3A48-A5B3-DD320A25254B}">
      <formula1>Numeromes</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B10F3-1F7E-6F43-88B6-9884A47C9936}">
  <dimension ref="A1:M38"/>
  <sheetViews>
    <sheetView topLeftCell="A4" zoomScale="164" workbookViewId="0">
      <selection activeCell="J17" sqref="J17"/>
    </sheetView>
  </sheetViews>
  <sheetFormatPr baseColWidth="10" defaultColWidth="0" defaultRowHeight="14" customHeight="1" zeroHeight="1" x14ac:dyDescent="0.15"/>
  <cols>
    <col min="1" max="1" width="3.6640625" style="31" customWidth="1"/>
    <col min="2" max="2" width="36.83203125" style="31" customWidth="1"/>
    <col min="3" max="3" width="16.6640625" style="37" customWidth="1"/>
    <col min="4" max="4" width="7.1640625" style="37" bestFit="1" customWidth="1"/>
    <col min="5" max="5" width="16.6640625" style="37" customWidth="1"/>
    <col min="6" max="6" width="7.1640625" style="37" bestFit="1" customWidth="1"/>
    <col min="7" max="7" width="16.6640625" style="37" customWidth="1"/>
    <col min="8" max="8" width="7.1640625" style="37" bestFit="1" customWidth="1"/>
    <col min="9" max="9" width="14.83203125" style="31" customWidth="1"/>
    <col min="10" max="10" width="13.1640625" style="37" bestFit="1" customWidth="1"/>
    <col min="11" max="11" width="2.5" style="37" customWidth="1"/>
    <col min="12" max="13" width="0" style="31" hidden="1" customWidth="1"/>
    <col min="14" max="16384" width="11.5" style="31" hidden="1"/>
  </cols>
  <sheetData>
    <row r="1" spans="2:11" x14ac:dyDescent="0.15">
      <c r="C1" s="32"/>
      <c r="D1" s="32"/>
      <c r="E1" s="32"/>
      <c r="F1" s="32"/>
      <c r="G1" s="32"/>
      <c r="H1" s="32"/>
      <c r="J1" s="32"/>
      <c r="K1" s="32"/>
    </row>
    <row r="2" spans="2:11" ht="28" x14ac:dyDescent="0.3">
      <c r="B2" s="40" t="s">
        <v>178</v>
      </c>
      <c r="C2" s="32"/>
      <c r="D2" s="32"/>
      <c r="E2" s="32"/>
      <c r="F2" s="32"/>
      <c r="G2" s="32"/>
      <c r="H2" s="32"/>
      <c r="J2" s="32"/>
      <c r="K2" s="32"/>
    </row>
    <row r="3" spans="2:11" x14ac:dyDescent="0.15">
      <c r="C3" s="32"/>
      <c r="D3" s="32"/>
      <c r="E3" s="32"/>
      <c r="F3" s="32"/>
      <c r="G3" s="32"/>
      <c r="H3" s="32"/>
      <c r="J3" s="32"/>
      <c r="K3" s="32"/>
    </row>
    <row r="4" spans="2:11" x14ac:dyDescent="0.15">
      <c r="B4" s="35" t="s">
        <v>87</v>
      </c>
      <c r="C4" s="36" t="str">
        <f>+'Datos EF'!O9</f>
        <v>Junio</v>
      </c>
      <c r="D4" s="36"/>
      <c r="E4" s="32"/>
      <c r="F4" s="32"/>
      <c r="G4" s="32"/>
      <c r="H4" s="32"/>
      <c r="I4" s="183" t="s">
        <v>95</v>
      </c>
      <c r="J4" s="183"/>
      <c r="K4" s="32"/>
    </row>
    <row r="5" spans="2:11" s="55" customFormat="1" ht="13" x14ac:dyDescent="0.15">
      <c r="B5" s="174" t="s">
        <v>89</v>
      </c>
      <c r="C5" s="175">
        <f>+'Comparativo ER'!C5</f>
        <v>2025</v>
      </c>
      <c r="D5" s="175" t="s">
        <v>90</v>
      </c>
      <c r="E5" s="175">
        <f>+'Comparativo ER'!E5</f>
        <v>2024</v>
      </c>
      <c r="F5" s="175" t="s">
        <v>90</v>
      </c>
      <c r="G5" s="175">
        <f>+'Comparativo ER'!G5</f>
        <v>2023</v>
      </c>
      <c r="H5" s="175" t="s">
        <v>90</v>
      </c>
      <c r="I5" s="175" t="str">
        <f>+'Comparativo ER'!K5</f>
        <v>2025 Vrs 2024</v>
      </c>
      <c r="J5" s="175" t="str">
        <f>+'Comparativo ER'!L5</f>
        <v>2024 Vrs 2023</v>
      </c>
      <c r="K5" s="56"/>
    </row>
    <row r="6" spans="2:11" s="55" customFormat="1" ht="13" x14ac:dyDescent="0.15">
      <c r="B6" s="17" t="str">
        <f>+'Datos EF'!H9</f>
        <v xml:space="preserve">    Suma Total Activos</v>
      </c>
      <c r="C6" s="122">
        <f>+'Datos EF'!I9</f>
        <v>828000</v>
      </c>
      <c r="D6" s="111">
        <f>+IF(ISERROR(C6/$C$6)," ",C6/$C$6)</f>
        <v>1</v>
      </c>
      <c r="E6" s="122">
        <f>+'Datos EF'!J9</f>
        <v>778000</v>
      </c>
      <c r="F6" s="111">
        <f t="shared" ref="F6:F20" si="0">+IF(ISERROR(E6/$E$6)," ",E6/$E$6)</f>
        <v>1</v>
      </c>
      <c r="G6" s="122">
        <f>+'Datos EF'!K9</f>
        <v>684000</v>
      </c>
      <c r="H6" s="111">
        <f t="shared" ref="H6:H20" si="1">+IF(ISERROR(G6/$G$6)," ",G6/$G$6)</f>
        <v>1</v>
      </c>
      <c r="I6" s="123">
        <f>IF(ISERROR(C6/E6)," ",C6/E6-1)</f>
        <v>6.4267352185090054E-2</v>
      </c>
      <c r="J6" s="123">
        <f>IF(ISERROR(E6/G6)," ",E6/G6-1)</f>
        <v>0.13742690058479523</v>
      </c>
      <c r="K6" s="56"/>
    </row>
    <row r="7" spans="2:11" s="55" customFormat="1" ht="13" x14ac:dyDescent="0.15">
      <c r="B7" s="58" t="str">
        <f>+'Datos EF'!H10</f>
        <v>Total de Activo Corriente</v>
      </c>
      <c r="C7" s="105">
        <f>+'Datos EF'!I10</f>
        <v>428000</v>
      </c>
      <c r="D7" s="111">
        <f>+IF(ISERROR(C7/$C$6)," ",C7/$C$6)</f>
        <v>0.51690821256038644</v>
      </c>
      <c r="E7" s="105">
        <f>+'Datos EF'!J10</f>
        <v>378000</v>
      </c>
      <c r="F7" s="111">
        <f t="shared" si="0"/>
        <v>0.48586118251928023</v>
      </c>
      <c r="G7" s="105">
        <f>+'Datos EF'!K10</f>
        <v>284000</v>
      </c>
      <c r="H7" s="111">
        <f t="shared" si="1"/>
        <v>0.41520467836257308</v>
      </c>
      <c r="I7" s="114">
        <f>IF(ISERROR(C7/E7)," ",C7/E7-1)</f>
        <v>0.13227513227513232</v>
      </c>
      <c r="J7" s="114">
        <f>IF(ISERROR(E7/G7)," ",E7/G7-1)</f>
        <v>0.33098591549295775</v>
      </c>
      <c r="K7" s="56"/>
    </row>
    <row r="8" spans="2:11" s="55" customFormat="1" ht="13" x14ac:dyDescent="0.15">
      <c r="B8" s="59" t="str">
        <f>+'Datos EF'!H11</f>
        <v>Caja y Bancos</v>
      </c>
      <c r="C8" s="110">
        <f>+'Datos EF'!I11</f>
        <v>325000</v>
      </c>
      <c r="D8" s="111">
        <f>+IF(ISERROR(C8/$C$6)," ",C8/$C$6)</f>
        <v>0.39251207729468601</v>
      </c>
      <c r="E8" s="110">
        <f>+'Datos EF'!J11</f>
        <v>285000</v>
      </c>
      <c r="F8" s="111">
        <f t="shared" si="0"/>
        <v>0.36632390745501286</v>
      </c>
      <c r="G8" s="110">
        <f>+'Datos EF'!K11</f>
        <v>199000</v>
      </c>
      <c r="H8" s="111">
        <f t="shared" si="1"/>
        <v>0.29093567251461988</v>
      </c>
      <c r="I8" s="114">
        <f t="shared" ref="I8:I37" si="2">IF(ISERROR(C8/E8)," ",C8/E8-1)</f>
        <v>0.14035087719298245</v>
      </c>
      <c r="J8" s="114">
        <f t="shared" ref="J8:J20" si="3">IF(ISERROR(E8/G8)," ",E8/G8-1)</f>
        <v>0.4321608040201006</v>
      </c>
      <c r="K8" s="56"/>
    </row>
    <row r="9" spans="2:11" s="55" customFormat="1" ht="13" x14ac:dyDescent="0.15">
      <c r="B9" s="59" t="str">
        <f>+'Datos EF'!H12</f>
        <v>Clientes</v>
      </c>
      <c r="C9" s="110">
        <f>+'Datos EF'!I12</f>
        <v>45000</v>
      </c>
      <c r="D9" s="111">
        <f t="shared" ref="D9:D20" si="4">+IF(ISERROR(C9/$C$6)," ",C9/$C$6)</f>
        <v>5.434782608695652E-2</v>
      </c>
      <c r="E9" s="110">
        <f>+'Datos EF'!J12</f>
        <v>48000</v>
      </c>
      <c r="F9" s="111">
        <f t="shared" si="0"/>
        <v>6.1696658097686374E-2</v>
      </c>
      <c r="G9" s="110">
        <f>+'Datos EF'!K12</f>
        <v>50000</v>
      </c>
      <c r="H9" s="111">
        <f t="shared" si="1"/>
        <v>7.3099415204678359E-2</v>
      </c>
      <c r="I9" s="114">
        <f t="shared" si="2"/>
        <v>-6.25E-2</v>
      </c>
      <c r="J9" s="114">
        <f t="shared" si="3"/>
        <v>-4.0000000000000036E-2</v>
      </c>
      <c r="K9" s="56"/>
    </row>
    <row r="10" spans="2:11" s="55" customFormat="1" ht="13" x14ac:dyDescent="0.15">
      <c r="B10" s="59" t="str">
        <f>+'Datos EF'!H13</f>
        <v>Inventario Final</v>
      </c>
      <c r="C10" s="110">
        <f>+'Datos EF'!I13</f>
        <v>50000</v>
      </c>
      <c r="D10" s="111">
        <f t="shared" si="4"/>
        <v>6.0386473429951688E-2</v>
      </c>
      <c r="E10" s="110">
        <f>+'Datos EF'!J13</f>
        <v>40000</v>
      </c>
      <c r="F10" s="111">
        <f t="shared" si="0"/>
        <v>5.1413881748071981E-2</v>
      </c>
      <c r="G10" s="110">
        <f>+'Datos EF'!K13</f>
        <v>30000</v>
      </c>
      <c r="H10" s="111">
        <f t="shared" si="1"/>
        <v>4.3859649122807015E-2</v>
      </c>
      <c r="I10" s="114">
        <f t="shared" si="2"/>
        <v>0.25</v>
      </c>
      <c r="J10" s="114">
        <f t="shared" si="3"/>
        <v>0.33333333333333326</v>
      </c>
      <c r="K10" s="56"/>
    </row>
    <row r="11" spans="2:11" s="55" customFormat="1" ht="13" x14ac:dyDescent="0.15">
      <c r="B11" s="59" t="str">
        <f>+'Datos EF'!H14</f>
        <v>Cuentas por Cobrar</v>
      </c>
      <c r="C11" s="110">
        <f>+'Datos EF'!I14</f>
        <v>8000</v>
      </c>
      <c r="D11" s="111">
        <f t="shared" si="4"/>
        <v>9.6618357487922701E-3</v>
      </c>
      <c r="E11" s="110">
        <f>+'Datos EF'!J14</f>
        <v>5000</v>
      </c>
      <c r="F11" s="111">
        <f t="shared" si="0"/>
        <v>6.4267352185089976E-3</v>
      </c>
      <c r="G11" s="110">
        <f>+'Datos EF'!K14</f>
        <v>5000</v>
      </c>
      <c r="H11" s="111">
        <f t="shared" si="1"/>
        <v>7.3099415204678359E-3</v>
      </c>
      <c r="I11" s="114">
        <f t="shared" si="2"/>
        <v>0.60000000000000009</v>
      </c>
      <c r="J11" s="114">
        <f t="shared" si="3"/>
        <v>0</v>
      </c>
      <c r="K11" s="56"/>
    </row>
    <row r="12" spans="2:11" s="55" customFormat="1" ht="13" x14ac:dyDescent="0.15">
      <c r="B12" s="59" t="str">
        <f>+'Datos EF'!H15</f>
        <v>Anticipo a Proveedores</v>
      </c>
      <c r="C12" s="110">
        <f>+'Datos EF'!I15</f>
        <v>0</v>
      </c>
      <c r="D12" s="111">
        <f t="shared" si="4"/>
        <v>0</v>
      </c>
      <c r="E12" s="110">
        <f>+'Datos EF'!J15</f>
        <v>0</v>
      </c>
      <c r="F12" s="111">
        <f t="shared" si="0"/>
        <v>0</v>
      </c>
      <c r="G12" s="110">
        <f>+'Datos EF'!K15</f>
        <v>0</v>
      </c>
      <c r="H12" s="111">
        <f t="shared" si="1"/>
        <v>0</v>
      </c>
      <c r="I12" s="114" t="str">
        <f t="shared" si="2"/>
        <v xml:space="preserve"> </v>
      </c>
      <c r="J12" s="114" t="str">
        <f t="shared" si="3"/>
        <v xml:space="preserve"> </v>
      </c>
      <c r="K12" s="56"/>
    </row>
    <row r="13" spans="2:11" s="55" customFormat="1" ht="13" x14ac:dyDescent="0.15">
      <c r="B13" s="59" t="str">
        <f>+'Datos EF'!H16</f>
        <v>Otros Activos Corrientes</v>
      </c>
      <c r="C13" s="110">
        <f>+'Datos EF'!I16</f>
        <v>0</v>
      </c>
      <c r="D13" s="111">
        <f t="shared" si="4"/>
        <v>0</v>
      </c>
      <c r="E13" s="110">
        <f>+'Datos EF'!J16</f>
        <v>0</v>
      </c>
      <c r="F13" s="111">
        <f t="shared" si="0"/>
        <v>0</v>
      </c>
      <c r="G13" s="110">
        <f>+'Datos EF'!K16</f>
        <v>0</v>
      </c>
      <c r="H13" s="111">
        <f t="shared" si="1"/>
        <v>0</v>
      </c>
      <c r="I13" s="114" t="str">
        <f t="shared" si="2"/>
        <v xml:space="preserve"> </v>
      </c>
      <c r="J13" s="114" t="str">
        <f t="shared" si="3"/>
        <v xml:space="preserve"> </v>
      </c>
      <c r="K13" s="56"/>
    </row>
    <row r="14" spans="2:11" s="55" customFormat="1" ht="13" x14ac:dyDescent="0.15">
      <c r="B14" s="58" t="str">
        <f>+'Datos EF'!H17</f>
        <v>Total Activo No Corriente</v>
      </c>
      <c r="C14" s="105">
        <f>+'Datos EF'!I17</f>
        <v>400000</v>
      </c>
      <c r="D14" s="111">
        <f t="shared" si="4"/>
        <v>0.48309178743961351</v>
      </c>
      <c r="E14" s="105">
        <f>+'Datos EF'!J17</f>
        <v>400000</v>
      </c>
      <c r="F14" s="111">
        <f t="shared" si="0"/>
        <v>0.51413881748071977</v>
      </c>
      <c r="G14" s="105">
        <f>+'Datos EF'!K17</f>
        <v>400000</v>
      </c>
      <c r="H14" s="111">
        <f t="shared" si="1"/>
        <v>0.58479532163742687</v>
      </c>
      <c r="I14" s="114">
        <f t="shared" si="2"/>
        <v>0</v>
      </c>
      <c r="J14" s="114">
        <f t="shared" si="3"/>
        <v>0</v>
      </c>
      <c r="K14" s="56"/>
    </row>
    <row r="15" spans="2:11" s="55" customFormat="1" ht="13" x14ac:dyDescent="0.15">
      <c r="B15" s="59" t="str">
        <f>+'Datos EF'!H18</f>
        <v>Edificios - Construcciones</v>
      </c>
      <c r="C15" s="110">
        <f>+'Datos EF'!I18</f>
        <v>0</v>
      </c>
      <c r="D15" s="111">
        <f t="shared" si="4"/>
        <v>0</v>
      </c>
      <c r="E15" s="110">
        <f>+'Datos EF'!J18</f>
        <v>0</v>
      </c>
      <c r="F15" s="111">
        <f t="shared" si="0"/>
        <v>0</v>
      </c>
      <c r="G15" s="110">
        <f>+'Datos EF'!K18</f>
        <v>0</v>
      </c>
      <c r="H15" s="111">
        <f t="shared" si="1"/>
        <v>0</v>
      </c>
      <c r="I15" s="114" t="str">
        <f t="shared" si="2"/>
        <v xml:space="preserve"> </v>
      </c>
      <c r="J15" s="114" t="str">
        <f t="shared" si="3"/>
        <v xml:space="preserve"> </v>
      </c>
      <c r="K15" s="56"/>
    </row>
    <row r="16" spans="2:11" s="55" customFormat="1" ht="13" x14ac:dyDescent="0.15">
      <c r="B16" s="59" t="str">
        <f>+'Datos EF'!H19</f>
        <v>Equipo de Computación</v>
      </c>
      <c r="C16" s="110">
        <f>+'Datos EF'!I19</f>
        <v>0</v>
      </c>
      <c r="D16" s="111">
        <f t="shared" si="4"/>
        <v>0</v>
      </c>
      <c r="E16" s="110">
        <f>+'Datos EF'!J19</f>
        <v>0</v>
      </c>
      <c r="F16" s="111">
        <f t="shared" si="0"/>
        <v>0</v>
      </c>
      <c r="G16" s="110">
        <f>+'Datos EF'!K19</f>
        <v>0</v>
      </c>
      <c r="H16" s="111">
        <f t="shared" si="1"/>
        <v>0</v>
      </c>
      <c r="I16" s="114" t="str">
        <f t="shared" si="2"/>
        <v xml:space="preserve"> </v>
      </c>
      <c r="J16" s="114" t="str">
        <f t="shared" si="3"/>
        <v xml:space="preserve"> </v>
      </c>
      <c r="K16" s="56"/>
    </row>
    <row r="17" spans="2:11" s="55" customFormat="1" ht="13" x14ac:dyDescent="0.15">
      <c r="B17" s="59" t="str">
        <f>+'Datos EF'!H20</f>
        <v>Mobiliario y Equipo</v>
      </c>
      <c r="C17" s="110">
        <f>+'Datos EF'!I20</f>
        <v>200000</v>
      </c>
      <c r="D17" s="111">
        <f t="shared" si="4"/>
        <v>0.24154589371980675</v>
      </c>
      <c r="E17" s="110">
        <f>+'Datos EF'!J20</f>
        <v>200000</v>
      </c>
      <c r="F17" s="111">
        <f t="shared" si="0"/>
        <v>0.25706940874035988</v>
      </c>
      <c r="G17" s="110">
        <f>+'Datos EF'!K20</f>
        <v>200000</v>
      </c>
      <c r="H17" s="111">
        <f t="shared" si="1"/>
        <v>0.29239766081871343</v>
      </c>
      <c r="I17" s="114">
        <f t="shared" si="2"/>
        <v>0</v>
      </c>
      <c r="J17" s="114">
        <f t="shared" si="3"/>
        <v>0</v>
      </c>
      <c r="K17" s="56"/>
    </row>
    <row r="18" spans="2:11" s="55" customFormat="1" ht="13" x14ac:dyDescent="0.15">
      <c r="B18" s="59" t="str">
        <f>+'Datos EF'!H21</f>
        <v>Vehículos</v>
      </c>
      <c r="C18" s="110">
        <f>+'Datos EF'!I21</f>
        <v>0</v>
      </c>
      <c r="D18" s="111">
        <f t="shared" si="4"/>
        <v>0</v>
      </c>
      <c r="E18" s="110">
        <f>+'Datos EF'!J21</f>
        <v>0</v>
      </c>
      <c r="F18" s="111">
        <f t="shared" si="0"/>
        <v>0</v>
      </c>
      <c r="G18" s="110">
        <f>+'Datos EF'!K21</f>
        <v>0</v>
      </c>
      <c r="H18" s="111">
        <f t="shared" si="1"/>
        <v>0</v>
      </c>
      <c r="I18" s="114" t="str">
        <f t="shared" si="2"/>
        <v xml:space="preserve"> </v>
      </c>
      <c r="J18" s="114" t="str">
        <f t="shared" si="3"/>
        <v xml:space="preserve"> </v>
      </c>
      <c r="K18" s="56"/>
    </row>
    <row r="19" spans="2:11" s="55" customFormat="1" ht="13" x14ac:dyDescent="0.15">
      <c r="B19" s="59" t="str">
        <f>+'Datos EF'!H22</f>
        <v>Maquinaria</v>
      </c>
      <c r="C19" s="110">
        <f>+'Datos EF'!I22</f>
        <v>200000</v>
      </c>
      <c r="D19" s="111">
        <f t="shared" si="4"/>
        <v>0.24154589371980675</v>
      </c>
      <c r="E19" s="110">
        <f>+'Datos EF'!J22</f>
        <v>200000</v>
      </c>
      <c r="F19" s="111">
        <f t="shared" si="0"/>
        <v>0.25706940874035988</v>
      </c>
      <c r="G19" s="110">
        <f>+'Datos EF'!K22</f>
        <v>200000</v>
      </c>
      <c r="H19" s="111">
        <f t="shared" si="1"/>
        <v>0.29239766081871343</v>
      </c>
      <c r="I19" s="114">
        <f t="shared" si="2"/>
        <v>0</v>
      </c>
      <c r="J19" s="114">
        <f t="shared" si="3"/>
        <v>0</v>
      </c>
      <c r="K19" s="56"/>
    </row>
    <row r="20" spans="2:11" s="55" customFormat="1" ht="13" x14ac:dyDescent="0.15">
      <c r="B20" s="59" t="str">
        <f>+'Datos EF'!H23</f>
        <v>Otros Activos No Corrientes</v>
      </c>
      <c r="C20" s="110">
        <f>+'Datos EF'!I23</f>
        <v>0</v>
      </c>
      <c r="D20" s="111">
        <f t="shared" si="4"/>
        <v>0</v>
      </c>
      <c r="E20" s="110">
        <f>+'Datos EF'!J23</f>
        <v>0</v>
      </c>
      <c r="F20" s="111">
        <f t="shared" si="0"/>
        <v>0</v>
      </c>
      <c r="G20" s="110">
        <f>+'Datos EF'!K23</f>
        <v>0</v>
      </c>
      <c r="H20" s="111">
        <f t="shared" si="1"/>
        <v>0</v>
      </c>
      <c r="I20" s="114" t="str">
        <f t="shared" si="2"/>
        <v xml:space="preserve"> </v>
      </c>
      <c r="J20" s="114" t="str">
        <f t="shared" si="3"/>
        <v xml:space="preserve"> </v>
      </c>
      <c r="K20" s="56"/>
    </row>
    <row r="21" spans="2:11" s="55" customFormat="1" ht="13" x14ac:dyDescent="0.15">
      <c r="B21" s="17" t="str">
        <f>+'Datos EF'!H24</f>
        <v xml:space="preserve">    Suma Total Pasivos</v>
      </c>
      <c r="C21" s="122">
        <f>+'Datos EF'!I24</f>
        <v>335000</v>
      </c>
      <c r="D21" s="111">
        <f t="shared" ref="D21:D37" si="5">+IF(ISERROR(C21/$C$37)," ",C21/$C$37)</f>
        <v>0.40458937198067635</v>
      </c>
      <c r="E21" s="122">
        <f>+'Datos EF'!J24</f>
        <v>375000</v>
      </c>
      <c r="F21" s="111">
        <f t="shared" ref="F21:F37" si="6">+IF(ISERROR(E21/$E$37)," ",E21/$E$37)</f>
        <v>0.4820051413881748</v>
      </c>
      <c r="G21" s="122">
        <f>+'Datos EF'!K24</f>
        <v>410000</v>
      </c>
      <c r="H21" s="111">
        <f t="shared" ref="H21:H37" si="7">+IF(ISERROR(G21/$G$37)," ",G21/$G$37)</f>
        <v>0.59941520467836262</v>
      </c>
      <c r="I21" s="123">
        <f>IF(ISERROR(C21/E21)," ",C21/E21-1)</f>
        <v>-0.10666666666666669</v>
      </c>
      <c r="J21" s="123">
        <f>IF(ISERROR(E21/G21)," ",E21/G21-1)</f>
        <v>-8.536585365853655E-2</v>
      </c>
      <c r="K21" s="56"/>
    </row>
    <row r="22" spans="2:11" s="55" customFormat="1" ht="13" x14ac:dyDescent="0.15">
      <c r="B22" s="58" t="str">
        <f>+'Datos EF'!H25</f>
        <v>Total Pasivo Corriente</v>
      </c>
      <c r="C22" s="105">
        <f>+'Datos EF'!I25</f>
        <v>35000</v>
      </c>
      <c r="D22" s="111">
        <f t="shared" si="5"/>
        <v>4.2270531400966184E-2</v>
      </c>
      <c r="E22" s="105">
        <f>+'Datos EF'!J25</f>
        <v>25000</v>
      </c>
      <c r="F22" s="111">
        <f t="shared" si="6"/>
        <v>3.2133676092544985E-2</v>
      </c>
      <c r="G22" s="105">
        <f>+'Datos EF'!K25</f>
        <v>10000</v>
      </c>
      <c r="H22" s="111">
        <f t="shared" si="7"/>
        <v>1.4619883040935672E-2</v>
      </c>
      <c r="I22" s="114">
        <f t="shared" ref="I22" si="8">IF(ISERROR(C22/E22)," ",C22/E22-1)</f>
        <v>0.39999999999999991</v>
      </c>
      <c r="J22" s="114">
        <f t="shared" ref="J22:J37" si="9">IF(ISERROR(E22/G22)," ",E22/G22-1)</f>
        <v>1.5</v>
      </c>
      <c r="K22" s="56"/>
    </row>
    <row r="23" spans="2:11" s="55" customFormat="1" ht="13" x14ac:dyDescent="0.15">
      <c r="B23" s="59" t="str">
        <f>+'Datos EF'!H26</f>
        <v>Cuentas por Pagar</v>
      </c>
      <c r="C23" s="110">
        <f>+'Datos EF'!I26</f>
        <v>0</v>
      </c>
      <c r="D23" s="111">
        <f t="shared" si="5"/>
        <v>0</v>
      </c>
      <c r="E23" s="110">
        <f>+'Datos EF'!J26</f>
        <v>0</v>
      </c>
      <c r="F23" s="111">
        <f t="shared" si="6"/>
        <v>0</v>
      </c>
      <c r="G23" s="110">
        <f>+'Datos EF'!K26</f>
        <v>0</v>
      </c>
      <c r="H23" s="111">
        <f t="shared" si="7"/>
        <v>0</v>
      </c>
      <c r="I23" s="114" t="str">
        <f t="shared" si="2"/>
        <v xml:space="preserve"> </v>
      </c>
      <c r="J23" s="114" t="str">
        <f t="shared" si="9"/>
        <v xml:space="preserve"> </v>
      </c>
      <c r="K23" s="56"/>
    </row>
    <row r="24" spans="2:11" s="55" customFormat="1" ht="13" x14ac:dyDescent="0.15">
      <c r="B24" s="59" t="str">
        <f>+'Datos EF'!H27</f>
        <v>Proveedores</v>
      </c>
      <c r="C24" s="110">
        <f>+'Datos EF'!I27</f>
        <v>35000</v>
      </c>
      <c r="D24" s="111">
        <f t="shared" si="5"/>
        <v>4.2270531400966184E-2</v>
      </c>
      <c r="E24" s="110">
        <f>+'Datos EF'!J27</f>
        <v>25000</v>
      </c>
      <c r="F24" s="111">
        <f t="shared" si="6"/>
        <v>3.2133676092544985E-2</v>
      </c>
      <c r="G24" s="110">
        <f>+'Datos EF'!K27</f>
        <v>10000</v>
      </c>
      <c r="H24" s="111">
        <f t="shared" si="7"/>
        <v>1.4619883040935672E-2</v>
      </c>
      <c r="I24" s="114">
        <f t="shared" si="2"/>
        <v>0.39999999999999991</v>
      </c>
      <c r="J24" s="114">
        <f t="shared" si="9"/>
        <v>1.5</v>
      </c>
      <c r="K24" s="56"/>
    </row>
    <row r="25" spans="2:11" s="55" customFormat="1" ht="13" x14ac:dyDescent="0.15">
      <c r="B25" s="59" t="str">
        <f>+'Datos EF'!H28</f>
        <v>Prestamos Bancarios Corto Plazo</v>
      </c>
      <c r="C25" s="110">
        <f>+'Datos EF'!I28</f>
        <v>0</v>
      </c>
      <c r="D25" s="111">
        <f t="shared" si="5"/>
        <v>0</v>
      </c>
      <c r="E25" s="110">
        <f>+'Datos EF'!J28</f>
        <v>0</v>
      </c>
      <c r="F25" s="111">
        <f t="shared" si="6"/>
        <v>0</v>
      </c>
      <c r="G25" s="110">
        <f>+'Datos EF'!K28</f>
        <v>0</v>
      </c>
      <c r="H25" s="111">
        <f t="shared" si="7"/>
        <v>0</v>
      </c>
      <c r="I25" s="114" t="str">
        <f t="shared" si="2"/>
        <v xml:space="preserve"> </v>
      </c>
      <c r="J25" s="114" t="str">
        <f t="shared" si="9"/>
        <v xml:space="preserve"> </v>
      </c>
      <c r="K25" s="56"/>
    </row>
    <row r="26" spans="2:11" s="55" customFormat="1" ht="13" x14ac:dyDescent="0.15">
      <c r="B26" s="59" t="str">
        <f>+'Datos EF'!H29</f>
        <v>Otras Cuentas por Pagar</v>
      </c>
      <c r="C26" s="110">
        <f>+'Datos EF'!I29</f>
        <v>0</v>
      </c>
      <c r="D26" s="111">
        <f t="shared" si="5"/>
        <v>0</v>
      </c>
      <c r="E26" s="110">
        <f>+'Datos EF'!J29</f>
        <v>0</v>
      </c>
      <c r="F26" s="111">
        <f t="shared" si="6"/>
        <v>0</v>
      </c>
      <c r="G26" s="110">
        <f>+'Datos EF'!K29</f>
        <v>0</v>
      </c>
      <c r="H26" s="111">
        <f t="shared" si="7"/>
        <v>0</v>
      </c>
      <c r="I26" s="114" t="str">
        <f t="shared" si="2"/>
        <v xml:space="preserve"> </v>
      </c>
      <c r="J26" s="114" t="str">
        <f t="shared" si="9"/>
        <v xml:space="preserve"> </v>
      </c>
      <c r="K26" s="56"/>
    </row>
    <row r="27" spans="2:11" s="55" customFormat="1" ht="13" x14ac:dyDescent="0.15">
      <c r="B27" s="59" t="str">
        <f>+'Datos EF'!H30</f>
        <v>Otros Pasivos Corriente</v>
      </c>
      <c r="C27" s="110">
        <f>+'Datos EF'!I30</f>
        <v>0</v>
      </c>
      <c r="D27" s="111">
        <f t="shared" si="5"/>
        <v>0</v>
      </c>
      <c r="E27" s="110">
        <f>+'Datos EF'!J30</f>
        <v>0</v>
      </c>
      <c r="F27" s="111">
        <f t="shared" si="6"/>
        <v>0</v>
      </c>
      <c r="G27" s="110">
        <f>+'Datos EF'!K30</f>
        <v>0</v>
      </c>
      <c r="H27" s="111">
        <f t="shared" si="7"/>
        <v>0</v>
      </c>
      <c r="I27" s="114" t="str">
        <f t="shared" si="2"/>
        <v xml:space="preserve"> </v>
      </c>
      <c r="J27" s="114" t="str">
        <f t="shared" si="9"/>
        <v xml:space="preserve"> </v>
      </c>
      <c r="K27" s="56"/>
    </row>
    <row r="28" spans="2:11" s="55" customFormat="1" ht="13" x14ac:dyDescent="0.15">
      <c r="B28" s="58" t="str">
        <f>+'Datos EF'!H31</f>
        <v>Total Pasivo No Corriente</v>
      </c>
      <c r="C28" s="105">
        <f>+'Datos EF'!I31</f>
        <v>300000</v>
      </c>
      <c r="D28" s="111">
        <f t="shared" si="5"/>
        <v>0.36231884057971014</v>
      </c>
      <c r="E28" s="105">
        <f>+'Datos EF'!J31</f>
        <v>350000</v>
      </c>
      <c r="F28" s="111">
        <f t="shared" si="6"/>
        <v>0.44987146529562982</v>
      </c>
      <c r="G28" s="105">
        <f>+'Datos EF'!K31</f>
        <v>400000</v>
      </c>
      <c r="H28" s="111">
        <f t="shared" si="7"/>
        <v>0.58479532163742687</v>
      </c>
      <c r="I28" s="114">
        <f t="shared" si="2"/>
        <v>-0.1428571428571429</v>
      </c>
      <c r="J28" s="114">
        <f t="shared" si="9"/>
        <v>-0.125</v>
      </c>
      <c r="K28" s="56"/>
    </row>
    <row r="29" spans="2:11" s="55" customFormat="1" ht="13" x14ac:dyDescent="0.15">
      <c r="B29" s="59" t="str">
        <f>+'Datos EF'!H32</f>
        <v>Prestamos Bancarios a Largo Plazo</v>
      </c>
      <c r="C29" s="110">
        <f>+'Datos EF'!I32</f>
        <v>300000</v>
      </c>
      <c r="D29" s="111">
        <f t="shared" si="5"/>
        <v>0.36231884057971014</v>
      </c>
      <c r="E29" s="110">
        <f>+'Datos EF'!J32</f>
        <v>350000</v>
      </c>
      <c r="F29" s="111">
        <f t="shared" si="6"/>
        <v>0.44987146529562982</v>
      </c>
      <c r="G29" s="110">
        <f>+'Datos EF'!K32</f>
        <v>400000</v>
      </c>
      <c r="H29" s="111">
        <f t="shared" si="7"/>
        <v>0.58479532163742687</v>
      </c>
      <c r="I29" s="114">
        <f t="shared" si="2"/>
        <v>-0.1428571428571429</v>
      </c>
      <c r="J29" s="114">
        <f t="shared" si="9"/>
        <v>-0.125</v>
      </c>
      <c r="K29" s="56"/>
    </row>
    <row r="30" spans="2:11" s="55" customFormat="1" ht="13" x14ac:dyDescent="0.15">
      <c r="B30" s="59" t="str">
        <f>+'Datos EF'!H33</f>
        <v>Documentos por Pagar</v>
      </c>
      <c r="C30" s="110">
        <f>+'Datos EF'!I33</f>
        <v>0</v>
      </c>
      <c r="D30" s="111">
        <f t="shared" si="5"/>
        <v>0</v>
      </c>
      <c r="E30" s="110">
        <f>+'Datos EF'!J33</f>
        <v>0</v>
      </c>
      <c r="F30" s="111">
        <f t="shared" si="6"/>
        <v>0</v>
      </c>
      <c r="G30" s="110">
        <f>+'Datos EF'!K33</f>
        <v>0</v>
      </c>
      <c r="H30" s="111">
        <f t="shared" si="7"/>
        <v>0</v>
      </c>
      <c r="I30" s="114" t="str">
        <f t="shared" si="2"/>
        <v xml:space="preserve"> </v>
      </c>
      <c r="J30" s="114" t="str">
        <f t="shared" si="9"/>
        <v xml:space="preserve"> </v>
      </c>
      <c r="K30" s="56"/>
    </row>
    <row r="31" spans="2:11" s="55" customFormat="1" ht="13" x14ac:dyDescent="0.15">
      <c r="B31" s="59" t="str">
        <f>+'Datos EF'!H34</f>
        <v>Reservas Indemnizaciones - Prestaciones</v>
      </c>
      <c r="C31" s="110">
        <f>+'Datos EF'!I34</f>
        <v>0</v>
      </c>
      <c r="D31" s="111">
        <f t="shared" si="5"/>
        <v>0</v>
      </c>
      <c r="E31" s="110">
        <f>+'Datos EF'!J34</f>
        <v>0</v>
      </c>
      <c r="F31" s="111">
        <f t="shared" si="6"/>
        <v>0</v>
      </c>
      <c r="G31" s="110">
        <f>+'Datos EF'!K34</f>
        <v>0</v>
      </c>
      <c r="H31" s="111">
        <f t="shared" si="7"/>
        <v>0</v>
      </c>
      <c r="I31" s="114" t="str">
        <f t="shared" si="2"/>
        <v xml:space="preserve"> </v>
      </c>
      <c r="J31" s="114" t="str">
        <f t="shared" si="9"/>
        <v xml:space="preserve"> </v>
      </c>
      <c r="K31" s="56"/>
    </row>
    <row r="32" spans="2:11" s="55" customFormat="1" ht="13" x14ac:dyDescent="0.15">
      <c r="B32" s="59" t="str">
        <f>+'Datos EF'!H35</f>
        <v>Otros Pasivos No Corrientes</v>
      </c>
      <c r="C32" s="110">
        <f>+'Datos EF'!I35</f>
        <v>0</v>
      </c>
      <c r="D32" s="111">
        <f t="shared" si="5"/>
        <v>0</v>
      </c>
      <c r="E32" s="110">
        <f>+'Datos EF'!J35</f>
        <v>0</v>
      </c>
      <c r="F32" s="111">
        <f t="shared" si="6"/>
        <v>0</v>
      </c>
      <c r="G32" s="110">
        <f>+'Datos EF'!K35</f>
        <v>0</v>
      </c>
      <c r="H32" s="111">
        <f t="shared" si="7"/>
        <v>0</v>
      </c>
      <c r="I32" s="114" t="str">
        <f t="shared" si="2"/>
        <v xml:space="preserve"> </v>
      </c>
      <c r="J32" s="114" t="str">
        <f t="shared" si="9"/>
        <v xml:space="preserve"> </v>
      </c>
      <c r="K32" s="56"/>
    </row>
    <row r="33" spans="2:11" s="55" customFormat="1" ht="13" x14ac:dyDescent="0.15">
      <c r="B33" s="17" t="str">
        <f>+'Datos EF'!H36</f>
        <v xml:space="preserve">    Capital</v>
      </c>
      <c r="C33" s="122">
        <f>+'Datos EF'!I36</f>
        <v>493000</v>
      </c>
      <c r="D33" s="111">
        <f t="shared" si="5"/>
        <v>0.59541062801932365</v>
      </c>
      <c r="E33" s="122">
        <f>+'Datos EF'!J36</f>
        <v>403000</v>
      </c>
      <c r="F33" s="111">
        <f t="shared" si="6"/>
        <v>0.51799485861182515</v>
      </c>
      <c r="G33" s="122">
        <f>+'Datos EF'!K36</f>
        <v>274000</v>
      </c>
      <c r="H33" s="111">
        <f t="shared" si="7"/>
        <v>0.40058479532163743</v>
      </c>
      <c r="I33" s="123">
        <f t="shared" si="2"/>
        <v>0.22332506203473956</v>
      </c>
      <c r="J33" s="123">
        <f t="shared" si="9"/>
        <v>0.47080291970802923</v>
      </c>
      <c r="K33" s="56"/>
    </row>
    <row r="34" spans="2:11" s="55" customFormat="1" ht="13" x14ac:dyDescent="0.15">
      <c r="B34" s="59" t="str">
        <f>+'Datos EF'!H37</f>
        <v>Capital Autorizado</v>
      </c>
      <c r="C34" s="110">
        <f>+'Datos EF'!I37</f>
        <v>472500</v>
      </c>
      <c r="D34" s="111">
        <f t="shared" si="5"/>
        <v>0.57065217391304346</v>
      </c>
      <c r="E34" s="110">
        <f>+'Datos EF'!J37</f>
        <v>394750</v>
      </c>
      <c r="F34" s="111">
        <f t="shared" si="6"/>
        <v>0.50739074550128538</v>
      </c>
      <c r="G34" s="110">
        <f>+'Datos EF'!K37</f>
        <v>266250</v>
      </c>
      <c r="H34" s="111">
        <f t="shared" si="7"/>
        <v>0.3892543859649123</v>
      </c>
      <c r="I34" s="114">
        <f t="shared" si="2"/>
        <v>0.19696010132995556</v>
      </c>
      <c r="J34" s="114">
        <f t="shared" si="9"/>
        <v>0.48262910798122061</v>
      </c>
      <c r="K34" s="56"/>
    </row>
    <row r="35" spans="2:11" s="55" customFormat="1" ht="13" x14ac:dyDescent="0.15">
      <c r="B35" s="59" t="str">
        <f>+'Datos EF'!H38</f>
        <v>Reservas</v>
      </c>
      <c r="C35" s="110">
        <f>+'Datos EF'!I38</f>
        <v>0</v>
      </c>
      <c r="D35" s="111">
        <f t="shared" si="5"/>
        <v>0</v>
      </c>
      <c r="E35" s="110">
        <f>+'Datos EF'!J38</f>
        <v>0</v>
      </c>
      <c r="F35" s="111">
        <f t="shared" si="6"/>
        <v>0</v>
      </c>
      <c r="G35" s="110">
        <f>+'Datos EF'!K38</f>
        <v>0</v>
      </c>
      <c r="H35" s="111">
        <f t="shared" si="7"/>
        <v>0</v>
      </c>
      <c r="I35" s="114" t="str">
        <f t="shared" si="2"/>
        <v xml:space="preserve"> </v>
      </c>
      <c r="J35" s="114" t="str">
        <f t="shared" si="9"/>
        <v xml:space="preserve"> </v>
      </c>
      <c r="K35" s="56"/>
    </row>
    <row r="36" spans="2:11" s="55" customFormat="1" ht="13" x14ac:dyDescent="0.15">
      <c r="B36" s="59" t="str">
        <f>+'Datos EF'!H39</f>
        <v>Utilidad del Ejercicio</v>
      </c>
      <c r="C36" s="110">
        <f>+'Datos EF'!I39</f>
        <v>20500</v>
      </c>
      <c r="D36" s="111">
        <f t="shared" si="5"/>
        <v>2.4758454106280192E-2</v>
      </c>
      <c r="E36" s="110">
        <f>+'Datos EF'!J39</f>
        <v>8250</v>
      </c>
      <c r="F36" s="111">
        <f t="shared" si="6"/>
        <v>1.0604113110539846E-2</v>
      </c>
      <c r="G36" s="110">
        <f>+'Datos EF'!K39</f>
        <v>7750</v>
      </c>
      <c r="H36" s="111">
        <f t="shared" si="7"/>
        <v>1.1330409356725146E-2</v>
      </c>
      <c r="I36" s="114">
        <f t="shared" si="2"/>
        <v>1.4848484848484849</v>
      </c>
      <c r="J36" s="114">
        <f t="shared" si="9"/>
        <v>6.4516129032258007E-2</v>
      </c>
      <c r="K36" s="124"/>
    </row>
    <row r="37" spans="2:11" s="55" customFormat="1" ht="13" x14ac:dyDescent="0.15">
      <c r="B37" s="118" t="str">
        <f>+'Datos EF'!H40</f>
        <v>Suma Total pasivo y Capital</v>
      </c>
      <c r="C37" s="118">
        <f>+'Datos EF'!I40</f>
        <v>828000</v>
      </c>
      <c r="D37" s="111">
        <f t="shared" si="5"/>
        <v>1</v>
      </c>
      <c r="E37" s="118">
        <f>+'Datos EF'!J40</f>
        <v>778000</v>
      </c>
      <c r="F37" s="111">
        <f t="shared" si="6"/>
        <v>1</v>
      </c>
      <c r="G37" s="118">
        <f>+'Datos EF'!K40</f>
        <v>684000</v>
      </c>
      <c r="H37" s="111">
        <f t="shared" si="7"/>
        <v>1</v>
      </c>
      <c r="I37" s="123">
        <f t="shared" si="2"/>
        <v>6.4267352185090054E-2</v>
      </c>
      <c r="J37" s="123">
        <f t="shared" si="9"/>
        <v>0.13742690058479523</v>
      </c>
      <c r="K37" s="124"/>
    </row>
    <row r="38" spans="2:11" x14ac:dyDescent="0.15">
      <c r="C38" s="32"/>
      <c r="D38" s="32"/>
      <c r="E38" s="32"/>
      <c r="F38" s="32"/>
      <c r="G38" s="32"/>
      <c r="H38" s="32"/>
      <c r="J38" s="32"/>
    </row>
  </sheetData>
  <mergeCells count="1">
    <mergeCell ref="I4:J4"/>
  </mergeCells>
  <conditionalFormatting sqref="I6:J37">
    <cfRule type="cellIs" dxfId="5" priority="1" operator="equal">
      <formula>0</formula>
    </cfRule>
    <cfRule type="cellIs" dxfId="4" priority="2" operator="lessThan">
      <formula>0</formula>
    </cfRule>
    <cfRule type="cellIs" dxfId="3" priority="3" operator="greater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1ED8E-C5C9-9949-B3DC-04246BD0D565}">
  <dimension ref="A1:R31"/>
  <sheetViews>
    <sheetView topLeftCell="A8" zoomScale="190" workbookViewId="0">
      <selection activeCell="C26" sqref="C26"/>
    </sheetView>
  </sheetViews>
  <sheetFormatPr baseColWidth="10" defaultColWidth="0" defaultRowHeight="14" customHeight="1" zeroHeight="1" x14ac:dyDescent="0.15"/>
  <cols>
    <col min="1" max="1" width="3.5" style="31" customWidth="1"/>
    <col min="2" max="2" width="34.6640625" style="31" bestFit="1" customWidth="1"/>
    <col min="3" max="3" width="16.6640625" style="37" customWidth="1"/>
    <col min="4" max="4" width="7" style="38" bestFit="1" customWidth="1"/>
    <col min="5" max="5" width="16.6640625" style="37" customWidth="1"/>
    <col min="6" max="6" width="7" style="39" bestFit="1" customWidth="1"/>
    <col min="7" max="7" width="16.6640625" style="37" customWidth="1"/>
    <col min="8" max="8" width="7" style="39" bestFit="1" customWidth="1"/>
    <col min="9" max="9" width="16.6640625" style="31" hidden="1"/>
    <col min="10" max="10" width="17.1640625" style="31" customWidth="1"/>
    <col min="11" max="12" width="13" style="31" bestFit="1" customWidth="1"/>
    <col min="13" max="13" width="2.5" style="31" customWidth="1"/>
    <col min="14" max="18" width="0" style="31" hidden="1" customWidth="1"/>
    <col min="19" max="16384" width="11.5" style="31" hidden="1"/>
  </cols>
  <sheetData>
    <row r="1" spans="2:12" x14ac:dyDescent="0.15">
      <c r="C1" s="32"/>
      <c r="D1" s="33"/>
      <c r="E1" s="32"/>
      <c r="F1" s="34"/>
      <c r="G1" s="32"/>
      <c r="H1" s="34"/>
    </row>
    <row r="2" spans="2:12" ht="28" x14ac:dyDescent="0.3">
      <c r="B2" s="13" t="s">
        <v>172</v>
      </c>
      <c r="C2" s="32"/>
      <c r="D2" s="33"/>
      <c r="E2" s="32"/>
      <c r="F2" s="34"/>
      <c r="G2" s="32"/>
      <c r="H2" s="34"/>
    </row>
    <row r="3" spans="2:12" x14ac:dyDescent="0.15">
      <c r="C3" s="32"/>
      <c r="D3" s="33"/>
      <c r="E3" s="32"/>
      <c r="F3" s="34"/>
      <c r="G3" s="32"/>
      <c r="H3" s="34"/>
    </row>
    <row r="4" spans="2:12" s="55" customFormat="1" ht="13" x14ac:dyDescent="0.15">
      <c r="B4" s="100" t="s">
        <v>87</v>
      </c>
      <c r="C4" s="101" t="str">
        <f>+'Datos EF'!O9</f>
        <v>Junio</v>
      </c>
      <c r="D4" s="102"/>
      <c r="E4" s="56"/>
      <c r="F4" s="103"/>
      <c r="G4" s="56"/>
      <c r="H4" s="103"/>
      <c r="K4" s="184" t="s">
        <v>88</v>
      </c>
      <c r="L4" s="184"/>
    </row>
    <row r="5" spans="2:12" s="55" customFormat="1" ht="13" x14ac:dyDescent="0.15">
      <c r="B5" s="174" t="s">
        <v>89</v>
      </c>
      <c r="C5" s="175">
        <f>+'Datos EF'!C8</f>
        <v>2025</v>
      </c>
      <c r="D5" s="176" t="s">
        <v>90</v>
      </c>
      <c r="E5" s="175">
        <f>+'Datos EF'!D8</f>
        <v>2024</v>
      </c>
      <c r="F5" s="176" t="s">
        <v>90</v>
      </c>
      <c r="G5" s="175">
        <f>+'Datos EF'!E8</f>
        <v>2023</v>
      </c>
      <c r="H5" s="176" t="s">
        <v>90</v>
      </c>
      <c r="I5" s="175" t="str">
        <f>+CONCATENATE("a ",'Datos EF'!O9)</f>
        <v>a Junio</v>
      </c>
      <c r="J5" s="175" t="str">
        <f>+CONCATENATE("Proyectado ",C5)</f>
        <v>Proyectado 2025</v>
      </c>
      <c r="K5" s="175" t="str">
        <f>+CONCATENATE(C5," Vrs ",E5)</f>
        <v>2025 Vrs 2024</v>
      </c>
      <c r="L5" s="175" t="str">
        <f>+CONCATENATE(E5," Vrs ",G5)</f>
        <v>2024 Vrs 2023</v>
      </c>
    </row>
    <row r="6" spans="2:12" s="55" customFormat="1" ht="13" x14ac:dyDescent="0.15">
      <c r="B6" s="104" t="str">
        <f>+'Datos EF'!B10</f>
        <v xml:space="preserve">    Ingresos</v>
      </c>
      <c r="C6" s="105"/>
      <c r="D6" s="106"/>
      <c r="E6" s="105"/>
      <c r="F6" s="106"/>
      <c r="G6" s="105"/>
      <c r="H6" s="107"/>
      <c r="I6" s="108"/>
      <c r="J6" s="104"/>
      <c r="K6" s="109" t="str">
        <f>IF(ISERROR(J6/E6)," ",J6/E6-1)</f>
        <v xml:space="preserve"> </v>
      </c>
      <c r="L6" s="109" t="str">
        <f>IF(ISERROR(E6/G6)," ",E6/G6-1)</f>
        <v xml:space="preserve"> </v>
      </c>
    </row>
    <row r="7" spans="2:12" s="55" customFormat="1" ht="13" x14ac:dyDescent="0.15">
      <c r="B7" s="110" t="str">
        <f>+'Datos EF'!B13</f>
        <v>Ventas / Servicios</v>
      </c>
      <c r="C7" s="110">
        <f>+'Datos EF'!C13</f>
        <v>350000</v>
      </c>
      <c r="D7" s="111">
        <f>+IF(ISERROR(C7/$C$7)," ",C7/$C$7)</f>
        <v>1</v>
      </c>
      <c r="E7" s="110">
        <f>+'Datos EF'!D13</f>
        <v>270000</v>
      </c>
      <c r="F7" s="111">
        <f>+IF(ISERROR(E7/$E$7)," ",E7/$E$7)</f>
        <v>1</v>
      </c>
      <c r="G7" s="110">
        <f>+'Datos EF'!E13</f>
        <v>200000</v>
      </c>
      <c r="H7" s="111">
        <f>+IF(ISERROR(G7/$G$7)," ",G7/$G$7)</f>
        <v>1</v>
      </c>
      <c r="I7" s="112">
        <f>+C7/'Datos EF'!$C$9</f>
        <v>58333.333333333336</v>
      </c>
      <c r="J7" s="113">
        <f t="shared" ref="J7:J27" si="0">+IF(ISERROR(I7*12)," ",I7*12)</f>
        <v>700000</v>
      </c>
      <c r="K7" s="114">
        <f t="shared" ref="K7:K9" si="1">IF(ISERROR(J7/E7)," ",J7/E7-1)</f>
        <v>1.5925925925925926</v>
      </c>
      <c r="L7" s="114">
        <f t="shared" ref="L7:L9" si="2">IF(ISERROR(E7/G7)," ",E7/G7-1)</f>
        <v>0.35000000000000009</v>
      </c>
    </row>
    <row r="8" spans="2:12" s="55" customFormat="1" ht="13" x14ac:dyDescent="0.15">
      <c r="B8" s="110" t="str">
        <f>+'Datos EF'!B14</f>
        <v xml:space="preserve"> -) Costo de Ventas</v>
      </c>
      <c r="C8" s="110">
        <f>+'Datos EF'!C14</f>
        <v>210000</v>
      </c>
      <c r="D8" s="111">
        <f t="shared" ref="D8:D27" si="3">+IF(ISERROR(C8/$C$7)," ",C8/$C$7)</f>
        <v>0.6</v>
      </c>
      <c r="E8" s="110">
        <f>+'Datos EF'!D14</f>
        <v>162000</v>
      </c>
      <c r="F8" s="111">
        <f t="shared" ref="F8:F27" si="4">+IF(ISERROR(E8/$E$7)," ",E8/$E$7)</f>
        <v>0.6</v>
      </c>
      <c r="G8" s="110">
        <f>+'Datos EF'!E14</f>
        <v>120000</v>
      </c>
      <c r="H8" s="111">
        <f t="shared" ref="H8:H27" si="5">+IF(ISERROR(G8/$G$7)," ",G8/$G$7)</f>
        <v>0.6</v>
      </c>
      <c r="I8" s="112">
        <f>+C8/'Datos EF'!$C$9</f>
        <v>35000</v>
      </c>
      <c r="J8" s="113">
        <f t="shared" si="0"/>
        <v>420000</v>
      </c>
      <c r="K8" s="114">
        <f t="shared" si="1"/>
        <v>1.5925925925925926</v>
      </c>
      <c r="L8" s="114">
        <f t="shared" si="2"/>
        <v>0.35000000000000009</v>
      </c>
    </row>
    <row r="9" spans="2:12" s="55" customFormat="1" ht="13" x14ac:dyDescent="0.15">
      <c r="B9" s="110" t="str">
        <f>+'Datos EF'!B15</f>
        <v>Resultado Bruto</v>
      </c>
      <c r="C9" s="110">
        <f>+'Datos EF'!C15</f>
        <v>140000</v>
      </c>
      <c r="D9" s="111">
        <f t="shared" si="3"/>
        <v>0.4</v>
      </c>
      <c r="E9" s="110">
        <f>+'Datos EF'!D15</f>
        <v>108000</v>
      </c>
      <c r="F9" s="111">
        <f t="shared" si="4"/>
        <v>0.4</v>
      </c>
      <c r="G9" s="110">
        <f>+'Datos EF'!E15</f>
        <v>80000</v>
      </c>
      <c r="H9" s="111">
        <f t="shared" si="5"/>
        <v>0.4</v>
      </c>
      <c r="I9" s="112">
        <f>+C9/'Datos EF'!$C$9</f>
        <v>23333.333333333332</v>
      </c>
      <c r="J9" s="113">
        <f t="shared" si="0"/>
        <v>280000</v>
      </c>
      <c r="K9" s="114">
        <f t="shared" si="1"/>
        <v>1.5925925925925926</v>
      </c>
      <c r="L9" s="114">
        <f t="shared" si="2"/>
        <v>0.35000000000000009</v>
      </c>
    </row>
    <row r="10" spans="2:12" s="55" customFormat="1" ht="13" x14ac:dyDescent="0.15">
      <c r="B10" s="185" t="s">
        <v>91</v>
      </c>
      <c r="C10" s="186"/>
      <c r="D10" s="111">
        <f>+IF(ISERROR(D9-F9)," ",D9-F9)</f>
        <v>0</v>
      </c>
      <c r="E10" s="105"/>
      <c r="F10" s="111">
        <f>+IF(ISERROR(F9-H9)," ",F9-H9)</f>
        <v>0</v>
      </c>
      <c r="G10" s="105"/>
      <c r="H10" s="106"/>
      <c r="I10" s="112"/>
      <c r="J10" s="113"/>
      <c r="K10" s="115"/>
      <c r="L10" s="115"/>
    </row>
    <row r="11" spans="2:12" s="55" customFormat="1" ht="13" x14ac:dyDescent="0.15">
      <c r="B11" s="104" t="str">
        <f>+'Datos EF'!B16</f>
        <v xml:space="preserve">    Gastos y Costos</v>
      </c>
      <c r="C11" s="105"/>
      <c r="D11" s="111"/>
      <c r="E11" s="105"/>
      <c r="F11" s="111"/>
      <c r="G11" s="105"/>
      <c r="H11" s="106"/>
      <c r="I11" s="105"/>
      <c r="J11" s="116"/>
      <c r="K11" s="115" t="str">
        <f t="shared" ref="K11:K27" si="6">IF(ISERROR(J11/E11)," ",J11/E11-1)</f>
        <v xml:space="preserve"> </v>
      </c>
      <c r="L11" s="115" t="str">
        <f t="shared" ref="L11:L27" si="7">IF(ISERROR(E11/G11)," ",E11/G11-1)</f>
        <v xml:space="preserve"> </v>
      </c>
    </row>
    <row r="12" spans="2:12" s="55" customFormat="1" ht="13" x14ac:dyDescent="0.15">
      <c r="B12" s="110" t="str">
        <f>+'Datos EF'!B17</f>
        <v>Gastos de Ventas (-)</v>
      </c>
      <c r="C12" s="110">
        <f>+'Datos EF'!C17</f>
        <v>65000</v>
      </c>
      <c r="D12" s="111">
        <f t="shared" si="3"/>
        <v>0.18571428571428572</v>
      </c>
      <c r="E12" s="110">
        <f>+'Datos EF'!D17</f>
        <v>55000</v>
      </c>
      <c r="F12" s="111">
        <f t="shared" si="4"/>
        <v>0.20370370370370369</v>
      </c>
      <c r="G12" s="110">
        <f>+'Datos EF'!E17</f>
        <v>30000</v>
      </c>
      <c r="H12" s="111">
        <f t="shared" si="5"/>
        <v>0.15</v>
      </c>
      <c r="I12" s="112">
        <f>+C12/'Datos EF'!$C$9</f>
        <v>10833.333333333334</v>
      </c>
      <c r="J12" s="113">
        <f t="shared" si="0"/>
        <v>130000</v>
      </c>
      <c r="K12" s="114">
        <f t="shared" si="6"/>
        <v>1.3636363636363638</v>
      </c>
      <c r="L12" s="114">
        <f t="shared" si="7"/>
        <v>0.83333333333333326</v>
      </c>
    </row>
    <row r="13" spans="2:12" s="55" customFormat="1" ht="13" x14ac:dyDescent="0.15">
      <c r="B13" s="187" t="s">
        <v>92</v>
      </c>
      <c r="C13" s="188"/>
      <c r="D13" s="111">
        <f>+IF(ISERROR(D12-F12)," ",D12-F12)</f>
        <v>-1.7989417989417972E-2</v>
      </c>
      <c r="E13" s="105"/>
      <c r="F13" s="111">
        <f>+IF(ISERROR(F12-H12)," ",F12-H12)</f>
        <v>5.3703703703703698E-2</v>
      </c>
      <c r="G13" s="105"/>
      <c r="H13" s="106"/>
      <c r="I13" s="112"/>
      <c r="J13" s="113"/>
      <c r="K13" s="115"/>
      <c r="L13" s="115"/>
    </row>
    <row r="14" spans="2:12" s="55" customFormat="1" ht="13" x14ac:dyDescent="0.15">
      <c r="B14" s="185" t="s">
        <v>93</v>
      </c>
      <c r="C14" s="186"/>
      <c r="D14" s="111">
        <f>+IF(ISERROR(D9-D12)," ",D9-D12)</f>
        <v>0.2142857142857143</v>
      </c>
      <c r="E14" s="105"/>
      <c r="F14" s="111">
        <f>+IF(ISERROR(F9-F12)," ",F9-F12)</f>
        <v>0.19629629629629633</v>
      </c>
      <c r="G14" s="105"/>
      <c r="H14" s="111">
        <f>+IF(ISERROR(H9-H12)," ",H9-H12)</f>
        <v>0.25</v>
      </c>
      <c r="I14" s="112"/>
      <c r="J14" s="113"/>
      <c r="K14" s="115"/>
      <c r="L14" s="115"/>
    </row>
    <row r="15" spans="2:12" s="55" customFormat="1" ht="13" x14ac:dyDescent="0.15">
      <c r="B15" s="110" t="str">
        <f>+'Datos EF'!B18</f>
        <v>Gastos Administrativos (-)</v>
      </c>
      <c r="C15" s="110">
        <f>+'Datos EF'!C18</f>
        <v>15000</v>
      </c>
      <c r="D15" s="111">
        <f t="shared" si="3"/>
        <v>4.2857142857142858E-2</v>
      </c>
      <c r="E15" s="110">
        <f>+'Datos EF'!D18</f>
        <v>12000</v>
      </c>
      <c r="F15" s="111">
        <f t="shared" si="4"/>
        <v>4.4444444444444446E-2</v>
      </c>
      <c r="G15" s="110">
        <f>+'Datos EF'!E18</f>
        <v>11000</v>
      </c>
      <c r="H15" s="111">
        <f t="shared" si="5"/>
        <v>5.5E-2</v>
      </c>
      <c r="I15" s="112">
        <f>+C15/'Datos EF'!$C$9</f>
        <v>2500</v>
      </c>
      <c r="J15" s="113">
        <f t="shared" si="0"/>
        <v>30000</v>
      </c>
      <c r="K15" s="114">
        <f t="shared" si="6"/>
        <v>1.5</v>
      </c>
      <c r="L15" s="114">
        <f t="shared" si="7"/>
        <v>9.0909090909090828E-2</v>
      </c>
    </row>
    <row r="16" spans="2:12" s="55" customFormat="1" ht="13" x14ac:dyDescent="0.15">
      <c r="B16" s="110" t="str">
        <f>+'Datos EF'!B19</f>
        <v>Gastos Varios (-)</v>
      </c>
      <c r="C16" s="110">
        <f>+'Datos EF'!C19</f>
        <v>0</v>
      </c>
      <c r="D16" s="111">
        <f t="shared" si="3"/>
        <v>0</v>
      </c>
      <c r="E16" s="110">
        <f>+'Datos EF'!D19</f>
        <v>0</v>
      </c>
      <c r="F16" s="111">
        <f t="shared" si="4"/>
        <v>0</v>
      </c>
      <c r="G16" s="110">
        <f>+'Datos EF'!E19</f>
        <v>0</v>
      </c>
      <c r="H16" s="111">
        <f t="shared" si="5"/>
        <v>0</v>
      </c>
      <c r="I16" s="112">
        <f>+C16/'Datos EF'!$C$9</f>
        <v>0</v>
      </c>
      <c r="J16" s="113">
        <f t="shared" si="0"/>
        <v>0</v>
      </c>
      <c r="K16" s="114" t="str">
        <f t="shared" si="6"/>
        <v xml:space="preserve"> </v>
      </c>
      <c r="L16" s="114" t="str">
        <f t="shared" si="7"/>
        <v xml:space="preserve"> </v>
      </c>
    </row>
    <row r="17" spans="2:12" s="55" customFormat="1" ht="13" x14ac:dyDescent="0.15">
      <c r="B17" s="110" t="str">
        <f>+'Datos EF'!B20</f>
        <v>Depreciaciones (-)</v>
      </c>
      <c r="C17" s="110">
        <f>+'Datos EF'!C20</f>
        <v>8000</v>
      </c>
      <c r="D17" s="111">
        <f t="shared" si="3"/>
        <v>2.2857142857142857E-2</v>
      </c>
      <c r="E17" s="110">
        <f>+'Datos EF'!D20</f>
        <v>8000</v>
      </c>
      <c r="F17" s="111">
        <f t="shared" si="4"/>
        <v>2.9629629629629631E-2</v>
      </c>
      <c r="G17" s="110">
        <f>+'Datos EF'!E20</f>
        <v>8000</v>
      </c>
      <c r="H17" s="111">
        <f t="shared" si="5"/>
        <v>0.04</v>
      </c>
      <c r="I17" s="112">
        <f>+C17/'Datos EF'!$C$9</f>
        <v>1333.3333333333333</v>
      </c>
      <c r="J17" s="113">
        <f t="shared" si="0"/>
        <v>16000</v>
      </c>
      <c r="K17" s="114">
        <f t="shared" si="6"/>
        <v>1</v>
      </c>
      <c r="L17" s="114">
        <f t="shared" si="7"/>
        <v>0</v>
      </c>
    </row>
    <row r="18" spans="2:12" s="55" customFormat="1" ht="13" x14ac:dyDescent="0.15">
      <c r="B18" s="110" t="str">
        <f>+'Datos EF'!B21</f>
        <v>Total de Gastos Operativos</v>
      </c>
      <c r="C18" s="110">
        <f>+'Datos EF'!C21</f>
        <v>88000</v>
      </c>
      <c r="D18" s="111">
        <f t="shared" si="3"/>
        <v>0.25142857142857145</v>
      </c>
      <c r="E18" s="110">
        <f>+'Datos EF'!D21</f>
        <v>75000</v>
      </c>
      <c r="F18" s="111">
        <f t="shared" si="4"/>
        <v>0.27777777777777779</v>
      </c>
      <c r="G18" s="110">
        <f>+'Datos EF'!E21</f>
        <v>49000</v>
      </c>
      <c r="H18" s="111">
        <f t="shared" si="5"/>
        <v>0.245</v>
      </c>
      <c r="I18" s="112">
        <f>+C18/'Datos EF'!$C$9</f>
        <v>14666.666666666666</v>
      </c>
      <c r="J18" s="113">
        <f t="shared" si="0"/>
        <v>176000</v>
      </c>
      <c r="K18" s="114">
        <f t="shared" si="6"/>
        <v>1.3466666666666667</v>
      </c>
      <c r="L18" s="114">
        <f t="shared" si="7"/>
        <v>0.53061224489795911</v>
      </c>
    </row>
    <row r="19" spans="2:12" s="55" customFormat="1" ht="13" x14ac:dyDescent="0.15">
      <c r="B19" s="117" t="str">
        <f>+'Datos EF'!B22</f>
        <v>Ganancia/Perdida Operativa</v>
      </c>
      <c r="C19" s="117">
        <f>+'Datos EF'!C22</f>
        <v>52000</v>
      </c>
      <c r="D19" s="111">
        <f t="shared" si="3"/>
        <v>0.14857142857142858</v>
      </c>
      <c r="E19" s="117">
        <f>+'Datos EF'!D22</f>
        <v>33000</v>
      </c>
      <c r="F19" s="111">
        <f t="shared" si="4"/>
        <v>0.12222222222222222</v>
      </c>
      <c r="G19" s="117">
        <f>+'Datos EF'!E22</f>
        <v>31000</v>
      </c>
      <c r="H19" s="111">
        <f t="shared" si="5"/>
        <v>0.155</v>
      </c>
      <c r="I19" s="112">
        <f>+C19/'Datos EF'!$C$9</f>
        <v>8666.6666666666661</v>
      </c>
      <c r="J19" s="113">
        <f t="shared" si="0"/>
        <v>104000</v>
      </c>
      <c r="K19" s="114">
        <f t="shared" si="6"/>
        <v>2.1515151515151514</v>
      </c>
      <c r="L19" s="114">
        <f t="shared" si="7"/>
        <v>6.4516129032258007E-2</v>
      </c>
    </row>
    <row r="20" spans="2:12" s="55" customFormat="1" ht="13" x14ac:dyDescent="0.15">
      <c r="B20" s="110" t="str">
        <f>+'Datos EF'!B23</f>
        <v>Otros Ingresos</v>
      </c>
      <c r="C20" s="110">
        <f>+'Datos EF'!C23</f>
        <v>0</v>
      </c>
      <c r="D20" s="111">
        <f t="shared" si="3"/>
        <v>0</v>
      </c>
      <c r="E20" s="110">
        <f>+'Datos EF'!D23</f>
        <v>0</v>
      </c>
      <c r="F20" s="111">
        <f t="shared" si="4"/>
        <v>0</v>
      </c>
      <c r="G20" s="110">
        <f>+'Datos EF'!E23</f>
        <v>0</v>
      </c>
      <c r="H20" s="111">
        <f t="shared" si="5"/>
        <v>0</v>
      </c>
      <c r="I20" s="112">
        <f>+C20/'Datos EF'!$C$9</f>
        <v>0</v>
      </c>
      <c r="J20" s="113">
        <f t="shared" si="0"/>
        <v>0</v>
      </c>
      <c r="K20" s="114" t="str">
        <f t="shared" si="6"/>
        <v xml:space="preserve"> </v>
      </c>
      <c r="L20" s="114" t="str">
        <f t="shared" si="7"/>
        <v xml:space="preserve"> </v>
      </c>
    </row>
    <row r="21" spans="2:12" s="55" customFormat="1" ht="13" x14ac:dyDescent="0.15">
      <c r="B21" s="110" t="str">
        <f>+'Datos EF'!B24</f>
        <v>Gastos Financieros (-)</v>
      </c>
      <c r="C21" s="110">
        <f>+'Datos EF'!C24</f>
        <v>18000</v>
      </c>
      <c r="D21" s="111">
        <f t="shared" si="3"/>
        <v>5.1428571428571428E-2</v>
      </c>
      <c r="E21" s="110">
        <f>+'Datos EF'!D24</f>
        <v>18000</v>
      </c>
      <c r="F21" s="111">
        <f t="shared" si="4"/>
        <v>6.6666666666666666E-2</v>
      </c>
      <c r="G21" s="110">
        <f>+'Datos EF'!E24</f>
        <v>18000</v>
      </c>
      <c r="H21" s="111">
        <f t="shared" si="5"/>
        <v>0.09</v>
      </c>
      <c r="I21" s="112">
        <f>+C21/'Datos EF'!$C$9</f>
        <v>3000</v>
      </c>
      <c r="J21" s="113">
        <f t="shared" si="0"/>
        <v>36000</v>
      </c>
      <c r="K21" s="114">
        <f t="shared" si="6"/>
        <v>1</v>
      </c>
      <c r="L21" s="114">
        <f t="shared" si="7"/>
        <v>0</v>
      </c>
    </row>
    <row r="22" spans="2:12" s="55" customFormat="1" ht="13" x14ac:dyDescent="0.15">
      <c r="B22" s="117" t="str">
        <f>+'Datos EF'!B25</f>
        <v>Total Ingresos y Gastos No Operativos</v>
      </c>
      <c r="C22" s="117">
        <f>+'Datos EF'!C25</f>
        <v>-18000</v>
      </c>
      <c r="D22" s="111">
        <f t="shared" si="3"/>
        <v>-5.1428571428571428E-2</v>
      </c>
      <c r="E22" s="117">
        <f>+'Datos EF'!D25</f>
        <v>-18000</v>
      </c>
      <c r="F22" s="111">
        <f t="shared" si="4"/>
        <v>-6.6666666666666666E-2</v>
      </c>
      <c r="G22" s="117">
        <f>+'Datos EF'!E25</f>
        <v>-18000</v>
      </c>
      <c r="H22" s="111">
        <f t="shared" si="5"/>
        <v>-0.09</v>
      </c>
      <c r="I22" s="112">
        <f>+C22/'Datos EF'!$C$9</f>
        <v>-3000</v>
      </c>
      <c r="J22" s="113">
        <f t="shared" si="0"/>
        <v>-36000</v>
      </c>
      <c r="K22" s="114">
        <f t="shared" si="6"/>
        <v>1</v>
      </c>
      <c r="L22" s="114">
        <f t="shared" si="7"/>
        <v>0</v>
      </c>
    </row>
    <row r="23" spans="2:12" s="55" customFormat="1" ht="13" x14ac:dyDescent="0.15">
      <c r="B23" s="117" t="str">
        <f>+'Datos EF'!B26</f>
        <v>Ganancia Antes de Impuestos</v>
      </c>
      <c r="C23" s="117">
        <f>+'Datos EF'!C26</f>
        <v>34000</v>
      </c>
      <c r="D23" s="111">
        <f t="shared" si="3"/>
        <v>9.7142857142857142E-2</v>
      </c>
      <c r="E23" s="117">
        <f>+'Datos EF'!D26</f>
        <v>15000</v>
      </c>
      <c r="F23" s="111">
        <f t="shared" si="4"/>
        <v>5.5555555555555552E-2</v>
      </c>
      <c r="G23" s="117">
        <f>+'Datos EF'!E26</f>
        <v>13000</v>
      </c>
      <c r="H23" s="111">
        <f t="shared" si="5"/>
        <v>6.5000000000000002E-2</v>
      </c>
      <c r="I23" s="112">
        <f>+C23/'Datos EF'!$C$9</f>
        <v>5666.666666666667</v>
      </c>
      <c r="J23" s="113">
        <f t="shared" si="0"/>
        <v>68000</v>
      </c>
      <c r="K23" s="114">
        <f t="shared" si="6"/>
        <v>3.5333333333333332</v>
      </c>
      <c r="L23" s="114">
        <f t="shared" si="7"/>
        <v>0.15384615384615374</v>
      </c>
    </row>
    <row r="24" spans="2:12" s="55" customFormat="1" ht="13" x14ac:dyDescent="0.15">
      <c r="B24" s="110" t="str">
        <f>+'Datos EF'!B27</f>
        <v>Reserva Legal (-)</v>
      </c>
      <c r="C24" s="110">
        <f>+'Datos EF'!C27</f>
        <v>5000</v>
      </c>
      <c r="D24" s="111">
        <f t="shared" si="3"/>
        <v>1.4285714285714285E-2</v>
      </c>
      <c r="E24" s="110">
        <f>+'Datos EF'!D27</f>
        <v>3000</v>
      </c>
      <c r="F24" s="111">
        <f t="shared" si="4"/>
        <v>1.1111111111111112E-2</v>
      </c>
      <c r="G24" s="110">
        <f>+'Datos EF'!E27</f>
        <v>2000</v>
      </c>
      <c r="H24" s="111">
        <f t="shared" si="5"/>
        <v>0.01</v>
      </c>
      <c r="I24" s="112">
        <f>+C24/'Datos EF'!$C$9</f>
        <v>833.33333333333337</v>
      </c>
      <c r="J24" s="113">
        <f t="shared" si="0"/>
        <v>10000</v>
      </c>
      <c r="K24" s="114">
        <f t="shared" si="6"/>
        <v>2.3333333333333335</v>
      </c>
      <c r="L24" s="114">
        <f t="shared" si="7"/>
        <v>0.5</v>
      </c>
    </row>
    <row r="25" spans="2:12" s="55" customFormat="1" ht="13" x14ac:dyDescent="0.15">
      <c r="B25" s="117" t="str">
        <f>+'Datos EF'!B28</f>
        <v>Utilidad Del Ejercicio</v>
      </c>
      <c r="C25" s="117">
        <f>+'Datos EF'!C28</f>
        <v>29000</v>
      </c>
      <c r="D25" s="111">
        <f t="shared" si="3"/>
        <v>8.2857142857142851E-2</v>
      </c>
      <c r="E25" s="117">
        <f>+'Datos EF'!D28</f>
        <v>12000</v>
      </c>
      <c r="F25" s="111">
        <f t="shared" si="4"/>
        <v>4.4444444444444446E-2</v>
      </c>
      <c r="G25" s="117">
        <f>+'Datos EF'!E28</f>
        <v>11000</v>
      </c>
      <c r="H25" s="111">
        <f t="shared" si="5"/>
        <v>5.5E-2</v>
      </c>
      <c r="I25" s="112">
        <f>+C25/'Datos EF'!$C$9</f>
        <v>4833.333333333333</v>
      </c>
      <c r="J25" s="113">
        <f t="shared" si="0"/>
        <v>58000</v>
      </c>
      <c r="K25" s="114">
        <f t="shared" si="6"/>
        <v>3.833333333333333</v>
      </c>
      <c r="L25" s="114">
        <f t="shared" si="7"/>
        <v>9.0909090909090828E-2</v>
      </c>
    </row>
    <row r="26" spans="2:12" s="55" customFormat="1" ht="13" x14ac:dyDescent="0.15">
      <c r="B26" s="110" t="str">
        <f>+'Datos EF'!B29</f>
        <v>Provisión Impuesto S/ Renta (-)</v>
      </c>
      <c r="C26" s="110">
        <f>+'Datos EF'!C29</f>
        <v>8500</v>
      </c>
      <c r="D26" s="111">
        <f t="shared" si="3"/>
        <v>2.4285714285714285E-2</v>
      </c>
      <c r="E26" s="110">
        <f>+'Datos EF'!D29</f>
        <v>3750</v>
      </c>
      <c r="F26" s="111">
        <f t="shared" si="4"/>
        <v>1.3888888888888888E-2</v>
      </c>
      <c r="G26" s="110">
        <f>+'Datos EF'!E29</f>
        <v>3250</v>
      </c>
      <c r="H26" s="111">
        <f t="shared" si="5"/>
        <v>1.6250000000000001E-2</v>
      </c>
      <c r="I26" s="112">
        <f>+C26/'Datos EF'!$C$9</f>
        <v>1416.6666666666667</v>
      </c>
      <c r="J26" s="113">
        <f t="shared" si="0"/>
        <v>17000</v>
      </c>
      <c r="K26" s="114">
        <f t="shared" si="6"/>
        <v>3.5333333333333332</v>
      </c>
      <c r="L26" s="114">
        <f t="shared" si="7"/>
        <v>0.15384615384615374</v>
      </c>
    </row>
    <row r="27" spans="2:12" s="55" customFormat="1" ht="13" x14ac:dyDescent="0.15">
      <c r="B27" s="118" t="str">
        <f>+'Datos EF'!B30</f>
        <v>Utilidad Neta</v>
      </c>
      <c r="C27" s="118">
        <f>+'Datos EF'!C30</f>
        <v>20500</v>
      </c>
      <c r="D27" s="119">
        <f t="shared" si="3"/>
        <v>5.8571428571428573E-2</v>
      </c>
      <c r="E27" s="118">
        <f>+'Datos EF'!D30</f>
        <v>8250</v>
      </c>
      <c r="F27" s="119">
        <f t="shared" si="4"/>
        <v>3.0555555555555555E-2</v>
      </c>
      <c r="G27" s="118">
        <f>+'Datos EF'!E30</f>
        <v>7750</v>
      </c>
      <c r="H27" s="119">
        <f t="shared" si="5"/>
        <v>3.875E-2</v>
      </c>
      <c r="I27" s="120">
        <f>+C27/'Datos EF'!$C$9</f>
        <v>3416.6666666666665</v>
      </c>
      <c r="J27" s="113">
        <f t="shared" si="0"/>
        <v>41000</v>
      </c>
      <c r="K27" s="121">
        <f t="shared" si="6"/>
        <v>3.9696969696969697</v>
      </c>
      <c r="L27" s="121">
        <f t="shared" si="7"/>
        <v>6.4516129032258007E-2</v>
      </c>
    </row>
    <row r="28" spans="2:12" s="55" customFormat="1" ht="13" x14ac:dyDescent="0.15">
      <c r="B28" s="187" t="s">
        <v>94</v>
      </c>
      <c r="C28" s="188"/>
      <c r="D28" s="111">
        <f>+IF(ISERROR(D27-F27)," ",D27-F27)</f>
        <v>2.8015873015873018E-2</v>
      </c>
      <c r="E28" s="105"/>
      <c r="F28" s="111">
        <f>+IF(ISERROR(F27-H27)," ",F27-H27)</f>
        <v>-8.1944444444444452E-3</v>
      </c>
      <c r="G28" s="105"/>
      <c r="H28" s="106"/>
      <c r="I28" s="112"/>
      <c r="J28" s="113"/>
      <c r="K28" s="115"/>
      <c r="L28" s="115"/>
    </row>
    <row r="29" spans="2:12" x14ac:dyDescent="0.15"/>
    <row r="30" spans="2:12" x14ac:dyDescent="0.15"/>
    <row r="31" spans="2:12" x14ac:dyDescent="0.15"/>
  </sheetData>
  <mergeCells count="5">
    <mergeCell ref="K4:L4"/>
    <mergeCell ref="B10:C10"/>
    <mergeCell ref="B13:C13"/>
    <mergeCell ref="B14:C14"/>
    <mergeCell ref="B28:C28"/>
  </mergeCells>
  <conditionalFormatting sqref="K7:L9 K12:L12 K15:L27">
    <cfRule type="cellIs" dxfId="2" priority="1" operator="equal">
      <formula>0</formula>
    </cfRule>
    <cfRule type="cellIs" dxfId="1" priority="2" operator="lessThan">
      <formula>0</formula>
    </cfRule>
    <cfRule type="cellIs" dxfId="0" priority="3" operator="greaterThan">
      <formula>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5C6AE-B4AE-6C4B-B560-17E75E8FDCA3}">
  <dimension ref="A1:M48"/>
  <sheetViews>
    <sheetView topLeftCell="B1" zoomScale="200" workbookViewId="0">
      <selection activeCell="F14" sqref="F14"/>
    </sheetView>
  </sheetViews>
  <sheetFormatPr baseColWidth="10" defaultColWidth="0" defaultRowHeight="15" customHeight="1" zeroHeight="1" x14ac:dyDescent="0.2"/>
  <cols>
    <col min="1" max="1" width="4.5" customWidth="1"/>
    <col min="2" max="2" width="7" customWidth="1"/>
    <col min="3" max="3" width="8.5" customWidth="1"/>
    <col min="4" max="4" width="24.5" customWidth="1"/>
    <col min="5" max="5" width="15.6640625" bestFit="1" customWidth="1"/>
    <col min="6" max="7" width="15.6640625" customWidth="1"/>
    <col min="8" max="8" width="14.5" bestFit="1" customWidth="1"/>
    <col min="9" max="9" width="13.5" bestFit="1" customWidth="1"/>
    <col min="10" max="10" width="5.33203125" customWidth="1"/>
    <col min="11" max="13" width="0" hidden="1" customWidth="1"/>
    <col min="14" max="16384" width="11.5" hidden="1"/>
  </cols>
  <sheetData>
    <row r="1" spans="2:9" ht="16" x14ac:dyDescent="0.2"/>
    <row r="2" spans="2:9" ht="29" x14ac:dyDescent="0.35">
      <c r="C2" s="8" t="s">
        <v>173</v>
      </c>
    </row>
    <row r="3" spans="2:9" s="55" customFormat="1" ht="13" x14ac:dyDescent="0.15">
      <c r="B3" s="63" t="s">
        <v>177</v>
      </c>
      <c r="C3" s="55" t="s">
        <v>174</v>
      </c>
    </row>
    <row r="4" spans="2:9" s="55" customFormat="1" ht="13" x14ac:dyDescent="0.15">
      <c r="B4" s="63" t="s">
        <v>177</v>
      </c>
      <c r="C4" s="55" t="s">
        <v>175</v>
      </c>
    </row>
    <row r="5" spans="2:9" s="55" customFormat="1" ht="13" x14ac:dyDescent="0.15">
      <c r="B5" s="63" t="s">
        <v>177</v>
      </c>
      <c r="C5" s="55" t="s">
        <v>180</v>
      </c>
    </row>
    <row r="6" spans="2:9" s="55" customFormat="1" ht="13" x14ac:dyDescent="0.15">
      <c r="B6" s="63" t="s">
        <v>177</v>
      </c>
      <c r="C6" s="55" t="s">
        <v>176</v>
      </c>
    </row>
    <row r="7" spans="2:9" s="55" customFormat="1" ht="13" x14ac:dyDescent="0.15"/>
    <row r="8" spans="2:9" s="55" customFormat="1" ht="13" x14ac:dyDescent="0.15">
      <c r="D8" s="191"/>
      <c r="E8" s="191"/>
      <c r="F8" s="191"/>
      <c r="G8" s="191"/>
      <c r="H8" s="191"/>
      <c r="I8" s="191"/>
    </row>
    <row r="9" spans="2:9" s="55" customFormat="1" ht="7.5" customHeight="1" x14ac:dyDescent="0.15"/>
    <row r="10" spans="2:9" s="55" customFormat="1" ht="14" x14ac:dyDescent="0.15">
      <c r="E10" s="125" t="str">
        <f>+CONCATENATE("Proyección ",F10)</f>
        <v>Proyección 2025</v>
      </c>
      <c r="F10" s="125">
        <f>+'Datos EF'!C8</f>
        <v>2025</v>
      </c>
      <c r="G10" s="125">
        <f>+'Datos EF'!D8</f>
        <v>2024</v>
      </c>
      <c r="H10" s="125">
        <f>+'Datos EF'!E8</f>
        <v>2023</v>
      </c>
    </row>
    <row r="11" spans="2:9" s="55" customFormat="1" ht="13" x14ac:dyDescent="0.15">
      <c r="D11" s="59" t="s">
        <v>0</v>
      </c>
      <c r="E11" s="62">
        <f>+'Comparativo ER'!J27</f>
        <v>41000</v>
      </c>
      <c r="F11" s="62">
        <f>+'Datos EF'!C30</f>
        <v>20500</v>
      </c>
      <c r="G11" s="62">
        <f>+'Datos EF'!D30</f>
        <v>8250</v>
      </c>
      <c r="H11" s="62">
        <f>+'Datos EF'!E30</f>
        <v>7750</v>
      </c>
    </row>
    <row r="12" spans="2:9" s="55" customFormat="1" ht="13" x14ac:dyDescent="0.15">
      <c r="D12" s="59" t="s">
        <v>1</v>
      </c>
      <c r="E12" s="62">
        <f>+(F12/'Datos EF'!$C$9)*12</f>
        <v>16000</v>
      </c>
      <c r="F12" s="62">
        <f>+'Datos EF'!C33</f>
        <v>8000</v>
      </c>
      <c r="G12" s="62">
        <f>+'Datos EF'!D33</f>
        <v>8000</v>
      </c>
      <c r="H12" s="62">
        <f>+'Datos EF'!E33</f>
        <v>8000</v>
      </c>
      <c r="I12" s="64"/>
    </row>
    <row r="13" spans="2:9" s="55" customFormat="1" ht="13" x14ac:dyDescent="0.15">
      <c r="D13" s="59" t="s">
        <v>2</v>
      </c>
      <c r="E13" s="62">
        <f>+(F13/'Datos EF'!$C$9)*12</f>
        <v>36000</v>
      </c>
      <c r="F13" s="62">
        <f>+'Datos EF'!C34</f>
        <v>18000</v>
      </c>
      <c r="G13" s="62">
        <f>+'Datos EF'!D34</f>
        <v>18000</v>
      </c>
      <c r="H13" s="62">
        <f>+'Datos EF'!E34</f>
        <v>18000</v>
      </c>
    </row>
    <row r="14" spans="2:9" s="55" customFormat="1" ht="13" x14ac:dyDescent="0.15">
      <c r="D14" s="59" t="s">
        <v>3</v>
      </c>
      <c r="E14" s="62">
        <f>+(F14/'Datos EF'!$C$9)*12</f>
        <v>17000</v>
      </c>
      <c r="F14" s="62">
        <f>+'Datos EF'!C35</f>
        <v>8500</v>
      </c>
      <c r="G14" s="62">
        <f>+'Datos EF'!D35</f>
        <v>3750</v>
      </c>
      <c r="H14" s="62">
        <f>+'Datos EF'!E35</f>
        <v>3250</v>
      </c>
      <c r="I14" s="57"/>
    </row>
    <row r="15" spans="2:9" s="55" customFormat="1" ht="13" x14ac:dyDescent="0.15">
      <c r="D15" s="54" t="s">
        <v>4</v>
      </c>
      <c r="E15" s="126">
        <f>SUM(E11:E14)</f>
        <v>110000</v>
      </c>
      <c r="F15" s="126">
        <f>SUM(F11:F14)</f>
        <v>55000</v>
      </c>
      <c r="G15" s="126">
        <f t="shared" ref="G15:H15" si="0">SUM(G11:G14)</f>
        <v>38000</v>
      </c>
      <c r="H15" s="126">
        <f t="shared" si="0"/>
        <v>37000</v>
      </c>
      <c r="I15" s="57"/>
    </row>
    <row r="16" spans="2:9" s="55" customFormat="1" ht="13" x14ac:dyDescent="0.15">
      <c r="D16" s="54" t="s">
        <v>5</v>
      </c>
      <c r="E16" s="127"/>
      <c r="F16" s="127">
        <f>+IF(ISERROR(F15/'Datos EF'!C13)," ",F15/'Datos EF'!C13)</f>
        <v>0.15714285714285714</v>
      </c>
      <c r="G16" s="127">
        <f>+IF(ISERROR(G15/'Datos EF'!D13)," ",G15/'Datos EF'!D13)</f>
        <v>0.14074074074074075</v>
      </c>
      <c r="H16" s="127">
        <f>+IF(ISERROR(H15/'Datos EF'!E13)," ",H15/'Datos EF'!E13)</f>
        <v>0.185</v>
      </c>
    </row>
    <row r="17" spans="3:10" s="55" customFormat="1" ht="9.75" customHeight="1" x14ac:dyDescent="0.15">
      <c r="E17" s="56"/>
    </row>
    <row r="18" spans="3:10" s="55" customFormat="1" ht="13" x14ac:dyDescent="0.15">
      <c r="C18" s="128"/>
      <c r="D18" s="128"/>
      <c r="E18" s="128"/>
      <c r="F18" s="128"/>
      <c r="G18" s="128"/>
      <c r="H18" s="128"/>
      <c r="I18" s="61"/>
      <c r="J18" s="63"/>
    </row>
    <row r="19" spans="3:10" ht="16" x14ac:dyDescent="0.2">
      <c r="C19" s="9"/>
      <c r="D19" s="9"/>
      <c r="E19" s="10"/>
      <c r="F19" s="2"/>
      <c r="G19" s="10"/>
      <c r="H19" s="10"/>
      <c r="I19" s="10"/>
      <c r="J19" s="41"/>
    </row>
    <row r="20" spans="3:10" ht="16" x14ac:dyDescent="0.2">
      <c r="C20" s="9"/>
      <c r="D20" s="9"/>
      <c r="E20" s="10"/>
      <c r="F20" s="2"/>
      <c r="G20" s="10"/>
      <c r="H20" s="10"/>
      <c r="I20" s="10"/>
      <c r="J20" s="41"/>
    </row>
    <row r="21" spans="3:10" ht="16" x14ac:dyDescent="0.2">
      <c r="C21" s="9"/>
      <c r="D21" s="9"/>
      <c r="E21" s="10"/>
      <c r="F21" s="2"/>
      <c r="G21" s="10"/>
      <c r="H21" s="10"/>
      <c r="I21" s="10"/>
    </row>
    <row r="22" spans="3:10" ht="16" x14ac:dyDescent="0.2">
      <c r="C22" s="9"/>
      <c r="D22" s="9"/>
      <c r="E22" s="10"/>
      <c r="F22" s="2"/>
      <c r="G22" s="10"/>
      <c r="H22" s="10"/>
      <c r="I22" s="10"/>
    </row>
    <row r="23" spans="3:10" ht="16" x14ac:dyDescent="0.2">
      <c r="F23" s="42"/>
      <c r="G23" s="11"/>
      <c r="H23" s="11"/>
      <c r="I23" s="11"/>
    </row>
    <row r="24" spans="3:10" ht="16" x14ac:dyDescent="0.2">
      <c r="H24" s="11"/>
      <c r="I24" s="11"/>
      <c r="J24" s="41"/>
    </row>
    <row r="25" spans="3:10" ht="18" hidden="1" x14ac:dyDescent="0.2">
      <c r="D25" s="44"/>
      <c r="E25" s="189"/>
      <c r="F25" s="190"/>
      <c r="G25" s="43"/>
      <c r="H25" s="43"/>
      <c r="I25" s="43"/>
    </row>
    <row r="26" spans="3:10" ht="16" x14ac:dyDescent="0.2"/>
    <row r="27" spans="3:10" ht="16" hidden="1" x14ac:dyDescent="0.2"/>
    <row r="28" spans="3:10" ht="16" hidden="1" x14ac:dyDescent="0.2"/>
    <row r="29" spans="3:10" ht="16" hidden="1" x14ac:dyDescent="0.2"/>
    <row r="30" spans="3:10" ht="16" hidden="1" x14ac:dyDescent="0.2"/>
    <row r="31" spans="3:10" ht="16" hidden="1" x14ac:dyDescent="0.2"/>
    <row r="32" spans="3:10" ht="16" hidden="1" x14ac:dyDescent="0.2"/>
    <row r="33" ht="16" hidden="1" x14ac:dyDescent="0.2"/>
    <row r="34" ht="16" hidden="1" x14ac:dyDescent="0.2"/>
    <row r="35" ht="16" hidden="1" x14ac:dyDescent="0.2"/>
    <row r="36" ht="16" hidden="1" x14ac:dyDescent="0.2"/>
    <row r="37" ht="16" hidden="1" x14ac:dyDescent="0.2"/>
    <row r="38" ht="16" hidden="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mergeCells count="2">
    <mergeCell ref="E25:F25"/>
    <mergeCell ref="D8:I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900B2-4D1C-C14D-BFED-46847AADDB00}">
  <dimension ref="A1:M46"/>
  <sheetViews>
    <sheetView tabSelected="1" zoomScale="184" workbookViewId="0">
      <selection activeCell="D14" sqref="D14"/>
    </sheetView>
  </sheetViews>
  <sheetFormatPr baseColWidth="10" defaultColWidth="0" defaultRowHeight="16" zeroHeight="1" x14ac:dyDescent="0.2"/>
  <cols>
    <col min="1" max="1" width="4.5" customWidth="1"/>
    <col min="2" max="2" width="10.33203125" customWidth="1"/>
    <col min="3" max="3" width="35.5" customWidth="1"/>
    <col min="4" max="4" width="14.1640625" style="5" bestFit="1" customWidth="1"/>
    <col min="5" max="6" width="14.1640625" style="5" customWidth="1"/>
    <col min="7" max="7" width="13.6640625" style="1" customWidth="1"/>
    <col min="8" max="8" width="15.33203125" customWidth="1"/>
    <col min="9" max="9" width="5.1640625" customWidth="1"/>
    <col min="10" max="13" width="11.5" customWidth="1"/>
    <col min="14" max="16384" width="11.5" hidden="1"/>
  </cols>
  <sheetData>
    <row r="1" spans="2:8" x14ac:dyDescent="0.2"/>
    <row r="2" spans="2:8" ht="29" x14ac:dyDescent="0.35">
      <c r="C2" s="7" t="s">
        <v>181</v>
      </c>
    </row>
    <row r="3" spans="2:8" x14ac:dyDescent="0.2"/>
    <row r="4" spans="2:8" x14ac:dyDescent="0.2"/>
    <row r="5" spans="2:8" s="55" customFormat="1" ht="14" x14ac:dyDescent="0.15">
      <c r="C5" s="125" t="s">
        <v>98</v>
      </c>
      <c r="D5" s="125">
        <f>+'Datos EF'!C8</f>
        <v>2025</v>
      </c>
      <c r="E5" s="125">
        <f>+'Datos EF'!D8</f>
        <v>2024</v>
      </c>
      <c r="F5" s="125">
        <f>+'Datos EF'!E8</f>
        <v>2023</v>
      </c>
      <c r="G5" s="125" t="s">
        <v>99</v>
      </c>
      <c r="H5" s="125" t="s">
        <v>184</v>
      </c>
    </row>
    <row r="6" spans="2:8" s="55" customFormat="1" ht="7.5" customHeight="1" x14ac:dyDescent="0.15">
      <c r="D6" s="100"/>
      <c r="E6" s="100"/>
      <c r="F6" s="100"/>
      <c r="G6" s="63"/>
    </row>
    <row r="7" spans="2:8" s="55" customFormat="1" ht="13" x14ac:dyDescent="0.15">
      <c r="C7" s="60" t="s">
        <v>100</v>
      </c>
      <c r="D7" s="129">
        <f>+'Datos EF'!C13</f>
        <v>350000</v>
      </c>
      <c r="E7" s="129">
        <f>+'Datos EF'!D13</f>
        <v>270000</v>
      </c>
      <c r="F7" s="129">
        <f>+'Datos EF'!E13</f>
        <v>200000</v>
      </c>
      <c r="G7" s="130" t="s">
        <v>101</v>
      </c>
      <c r="H7" s="60"/>
    </row>
    <row r="8" spans="2:8" s="55" customFormat="1" ht="13" x14ac:dyDescent="0.15">
      <c r="C8" s="59" t="s">
        <v>102</v>
      </c>
      <c r="D8" s="131">
        <f>+'Datos EF'!C14</f>
        <v>210000</v>
      </c>
      <c r="E8" s="131">
        <f>+'Datos EF'!D14</f>
        <v>162000</v>
      </c>
      <c r="F8" s="131">
        <f>+'Datos EF'!E14</f>
        <v>120000</v>
      </c>
      <c r="G8" s="132"/>
      <c r="H8" s="59"/>
    </row>
    <row r="9" spans="2:8" s="55" customFormat="1" ht="13" x14ac:dyDescent="0.15">
      <c r="C9" s="60" t="s">
        <v>67</v>
      </c>
      <c r="D9" s="129">
        <f>+'Datos EF'!C30</f>
        <v>20500</v>
      </c>
      <c r="E9" s="129">
        <f>+'Datos EF'!D30</f>
        <v>8250</v>
      </c>
      <c r="F9" s="129">
        <f>+'Datos EF'!E30</f>
        <v>7750</v>
      </c>
      <c r="G9" s="130" t="s">
        <v>101</v>
      </c>
      <c r="H9" s="60"/>
    </row>
    <row r="10" spans="2:8" s="55" customFormat="1" ht="13" x14ac:dyDescent="0.15">
      <c r="C10" s="59" t="s">
        <v>103</v>
      </c>
      <c r="D10" s="131">
        <f>+'Datos EF'!I9</f>
        <v>828000</v>
      </c>
      <c r="E10" s="131">
        <f>+'Datos EF'!J9</f>
        <v>778000</v>
      </c>
      <c r="F10" s="131">
        <f>+'Datos EF'!K9</f>
        <v>684000</v>
      </c>
      <c r="G10" s="132"/>
      <c r="H10" s="59"/>
    </row>
    <row r="11" spans="2:8" s="55" customFormat="1" ht="13" x14ac:dyDescent="0.15">
      <c r="C11" s="60" t="s">
        <v>104</v>
      </c>
      <c r="D11" s="129">
        <f>+'Datos EF'!I24</f>
        <v>335000</v>
      </c>
      <c r="E11" s="129">
        <f>+'Datos EF'!J24</f>
        <v>375000</v>
      </c>
      <c r="F11" s="129">
        <f>+'Datos EF'!K24</f>
        <v>410000</v>
      </c>
      <c r="G11" s="130"/>
      <c r="H11" s="60"/>
    </row>
    <row r="12" spans="2:8" s="55" customFormat="1" ht="13" x14ac:dyDescent="0.15">
      <c r="C12" s="59" t="s">
        <v>105</v>
      </c>
      <c r="D12" s="131">
        <f>+'Datos EF'!I36</f>
        <v>493000</v>
      </c>
      <c r="E12" s="131">
        <f>+'Datos EF'!J36</f>
        <v>403000</v>
      </c>
      <c r="F12" s="131">
        <f>+'Datos EF'!K36</f>
        <v>274000</v>
      </c>
      <c r="G12" s="132"/>
      <c r="H12" s="59"/>
    </row>
    <row r="13" spans="2:8" s="55" customFormat="1" ht="13" x14ac:dyDescent="0.15">
      <c r="C13" s="60" t="s">
        <v>106</v>
      </c>
      <c r="D13" s="133">
        <f>+Formulas!O8</f>
        <v>393000</v>
      </c>
      <c r="E13" s="133">
        <f>+Formulas!P8</f>
        <v>353000</v>
      </c>
      <c r="F13" s="133">
        <f>+Formulas!Q8</f>
        <v>274000</v>
      </c>
      <c r="G13" s="134" t="str">
        <f>+Formulas!S8</f>
        <v>Alta</v>
      </c>
      <c r="H13" s="135" t="str">
        <f>+Formulas!T8</f>
        <v>N/A</v>
      </c>
    </row>
    <row r="14" spans="2:8" s="55" customFormat="1" ht="13" x14ac:dyDescent="0.15">
      <c r="B14" s="55">
        <v>1</v>
      </c>
      <c r="C14" s="59" t="s">
        <v>107</v>
      </c>
      <c r="D14" s="136">
        <f>+Formulas!O10</f>
        <v>12.228571428571428</v>
      </c>
      <c r="E14" s="136">
        <f>+Formulas!P10</f>
        <v>15.12</v>
      </c>
      <c r="F14" s="136">
        <f>+Formulas!Q10</f>
        <v>28.4</v>
      </c>
      <c r="G14" s="137" t="str">
        <f>+Formulas!S10</f>
        <v>Alta</v>
      </c>
      <c r="H14" s="138" t="str">
        <f>+Formulas!T10</f>
        <v>Debe ser &gt;1</v>
      </c>
    </row>
    <row r="15" spans="2:8" s="55" customFormat="1" ht="13" x14ac:dyDescent="0.15">
      <c r="B15" s="55">
        <v>2</v>
      </c>
      <c r="C15" s="60" t="s">
        <v>108</v>
      </c>
      <c r="D15" s="133">
        <f>+Formulas!O15</f>
        <v>4.2</v>
      </c>
      <c r="E15" s="133">
        <f>+Formulas!P15</f>
        <v>4.05</v>
      </c>
      <c r="F15" s="133">
        <f>+Formulas!Q15</f>
        <v>4</v>
      </c>
      <c r="G15" s="134" t="str">
        <f>+Formulas!S15</f>
        <v>Alta</v>
      </c>
      <c r="H15" s="135">
        <f>+Formulas!T15</f>
        <v>0</v>
      </c>
    </row>
    <row r="16" spans="2:8" s="55" customFormat="1" ht="13" x14ac:dyDescent="0.15">
      <c r="B16" s="55">
        <v>3</v>
      </c>
      <c r="C16" s="59" t="s">
        <v>109</v>
      </c>
      <c r="D16" s="136">
        <f>+Formulas!O26</f>
        <v>31.25</v>
      </c>
      <c r="E16" s="136">
        <f>+Formulas!P26</f>
        <v>36</v>
      </c>
      <c r="F16" s="136">
        <f>+Formulas!Q26</f>
        <v>25</v>
      </c>
      <c r="G16" s="137" t="str">
        <f>+Formulas!S26</f>
        <v>Alta</v>
      </c>
      <c r="H16" s="59"/>
    </row>
    <row r="17" spans="2:9" s="55" customFormat="1" ht="13" x14ac:dyDescent="0.15">
      <c r="B17" s="55">
        <v>4</v>
      </c>
      <c r="C17" s="60" t="s">
        <v>110</v>
      </c>
      <c r="D17" s="133" t="str">
        <f>+Formulas!O37</f>
        <v xml:space="preserve"> </v>
      </c>
      <c r="E17" s="133" t="str">
        <f>+Formulas!P37</f>
        <v xml:space="preserve"> </v>
      </c>
      <c r="F17" s="133" t="str">
        <f>+Formulas!Q37</f>
        <v xml:space="preserve"> </v>
      </c>
      <c r="G17" s="134" t="str">
        <f>+Formulas!S37</f>
        <v>Moderada</v>
      </c>
      <c r="H17" s="60"/>
      <c r="I17" s="139"/>
    </row>
    <row r="18" spans="2:9" s="55" customFormat="1" ht="13" x14ac:dyDescent="0.15">
      <c r="B18" s="55">
        <v>5</v>
      </c>
      <c r="C18" s="60" t="s">
        <v>112</v>
      </c>
      <c r="D18" s="133">
        <f>+Formulas!O53</f>
        <v>0.67951318458417853</v>
      </c>
      <c r="E18" s="133">
        <f>+Formulas!P53</f>
        <v>0.9305210918114144</v>
      </c>
      <c r="F18" s="133">
        <f>+Formulas!Q53</f>
        <v>1.4963503649635037</v>
      </c>
      <c r="G18" s="134" t="str">
        <f>+Formulas!S53</f>
        <v>Alta</v>
      </c>
      <c r="H18" s="135" t="str">
        <f>+Formulas!T53</f>
        <v>2.50x Fid. 4x Hip</v>
      </c>
      <c r="I18" s="139"/>
    </row>
    <row r="19" spans="2:9" s="55" customFormat="1" ht="13" x14ac:dyDescent="0.15">
      <c r="B19" s="55">
        <v>6</v>
      </c>
      <c r="C19" s="59" t="s">
        <v>113</v>
      </c>
      <c r="D19" s="136">
        <f>+Formulas!O58</f>
        <v>1.5833333333333333</v>
      </c>
      <c r="E19" s="136">
        <f>+Formulas!P58</f>
        <v>0.90277777777777779</v>
      </c>
      <c r="F19" s="136">
        <f>+Formulas!Q58</f>
        <v>0.875</v>
      </c>
      <c r="G19" s="132"/>
      <c r="H19" s="59"/>
      <c r="I19" s="139"/>
    </row>
    <row r="20" spans="2:9" s="55" customFormat="1" ht="13" x14ac:dyDescent="0.15">
      <c r="B20" s="55">
        <v>7</v>
      </c>
      <c r="C20" s="60" t="s">
        <v>114</v>
      </c>
      <c r="D20" s="140">
        <f>+Formulas!O63</f>
        <v>8.1428571428571433E-2</v>
      </c>
      <c r="E20" s="140">
        <f>+Formulas!P63</f>
        <v>6.0185185185185182E-2</v>
      </c>
      <c r="F20" s="140">
        <f>+Formulas!Q63</f>
        <v>7.8750000000000001E-2</v>
      </c>
      <c r="G20" s="141" t="str">
        <f>+Formulas!S63</f>
        <v>Alta</v>
      </c>
      <c r="H20" s="142">
        <f>+Formulas!T63</f>
        <v>0.08</v>
      </c>
      <c r="I20" s="139"/>
    </row>
    <row r="21" spans="2:9" s="55" customFormat="1" ht="13" x14ac:dyDescent="0.15">
      <c r="B21" s="55">
        <v>8</v>
      </c>
      <c r="C21" s="60" t="s">
        <v>120</v>
      </c>
      <c r="D21" s="140">
        <f>+Formulas!O89</f>
        <v>10.8</v>
      </c>
      <c r="E21" s="140">
        <f>+Formulas!P89</f>
        <v>13.52</v>
      </c>
      <c r="F21" s="140">
        <f>+Formulas!Q89</f>
        <v>25.4</v>
      </c>
      <c r="G21" s="141" t="str">
        <f>+Formulas!S89</f>
        <v>Moderada</v>
      </c>
      <c r="H21" s="142" t="str">
        <f>+Formulas!T89</f>
        <v>Mínimo Q.1.00</v>
      </c>
    </row>
    <row r="22" spans="2:9" x14ac:dyDescent="0.2">
      <c r="C22" s="45"/>
      <c r="D22" s="46"/>
      <c r="E22" s="46"/>
      <c r="F22" s="46"/>
      <c r="G22" s="47"/>
      <c r="H22" s="45"/>
    </row>
    <row r="23" spans="2:9" x14ac:dyDescent="0.2">
      <c r="C23" s="45"/>
      <c r="D23" s="46"/>
      <c r="E23" s="46"/>
      <c r="F23" s="46"/>
      <c r="G23" s="47"/>
      <c r="H23" s="45"/>
    </row>
    <row r="24" spans="2:9" x14ac:dyDescent="0.2">
      <c r="C24" s="45"/>
      <c r="D24" s="46"/>
      <c r="E24" s="46"/>
      <c r="F24" s="46"/>
      <c r="G24" s="47"/>
      <c r="H24" s="45"/>
    </row>
    <row r="25" spans="2:9" x14ac:dyDescent="0.2">
      <c r="C25" s="45"/>
      <c r="D25" s="48"/>
      <c r="E25" s="48"/>
      <c r="F25" s="48"/>
      <c r="G25" s="47"/>
      <c r="H25" s="45"/>
    </row>
    <row r="26" spans="2:9" x14ac:dyDescent="0.2">
      <c r="C26" s="45"/>
      <c r="D26" s="49"/>
      <c r="E26" s="49"/>
      <c r="F26" s="49"/>
      <c r="G26" s="47"/>
      <c r="H26" s="45"/>
    </row>
    <row r="27" spans="2:9" x14ac:dyDescent="0.2">
      <c r="C27" s="45"/>
      <c r="D27" s="50"/>
      <c r="E27" s="50"/>
      <c r="F27" s="50"/>
      <c r="G27" s="47"/>
      <c r="H27" s="45"/>
    </row>
    <row r="28" spans="2:9" x14ac:dyDescent="0.2">
      <c r="C28" s="45"/>
      <c r="D28" s="46"/>
      <c r="E28" s="46"/>
      <c r="F28" s="46"/>
      <c r="G28" s="47"/>
      <c r="H28" s="45"/>
    </row>
    <row r="29" spans="2:9" x14ac:dyDescent="0.2">
      <c r="C29" s="3"/>
      <c r="D29" s="6"/>
      <c r="E29" s="6"/>
      <c r="F29" s="6"/>
      <c r="G29" s="4"/>
      <c r="H29" s="3"/>
    </row>
    <row r="30" spans="2:9" x14ac:dyDescent="0.2">
      <c r="C30" s="3"/>
      <c r="D30" s="6"/>
      <c r="E30" s="6"/>
      <c r="F30" s="6"/>
      <c r="G30" s="4"/>
      <c r="H30" s="3"/>
    </row>
    <row r="31" spans="2:9" x14ac:dyDescent="0.2">
      <c r="C31" s="3"/>
      <c r="D31" s="6"/>
      <c r="E31" s="6"/>
      <c r="F31" s="6"/>
      <c r="G31" s="4"/>
      <c r="H31" s="3"/>
    </row>
    <row r="32" spans="2:9" x14ac:dyDescent="0.2">
      <c r="C32" s="3"/>
      <c r="D32" s="6"/>
      <c r="E32" s="6"/>
      <c r="F32" s="6"/>
      <c r="G32" s="4"/>
      <c r="H32" s="3"/>
    </row>
    <row r="33" spans="3:8" x14ac:dyDescent="0.2">
      <c r="C33" s="3"/>
      <c r="D33" s="6"/>
      <c r="E33" s="6"/>
      <c r="F33" s="6"/>
      <c r="G33" s="4"/>
      <c r="H33" s="3"/>
    </row>
    <row r="34" spans="3:8" x14ac:dyDescent="0.2"/>
    <row r="35" spans="3:8" x14ac:dyDescent="0.2"/>
    <row r="36" spans="3:8" x14ac:dyDescent="0.2"/>
    <row r="37" spans="3:8" x14ac:dyDescent="0.2"/>
    <row r="38" spans="3:8" x14ac:dyDescent="0.2"/>
    <row r="39" spans="3:8" x14ac:dyDescent="0.2"/>
    <row r="40" spans="3:8" x14ac:dyDescent="0.2"/>
    <row r="41" spans="3:8" x14ac:dyDescent="0.2"/>
    <row r="42" spans="3:8" x14ac:dyDescent="0.2"/>
    <row r="43" spans="3:8" x14ac:dyDescent="0.2"/>
    <row r="44" spans="3:8" x14ac:dyDescent="0.2"/>
    <row r="45" spans="3:8" x14ac:dyDescent="0.2"/>
    <row r="46" spans="3:8" x14ac:dyDescent="0.2"/>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EF2E-F53F-E347-87B3-840D707C8C3C}">
  <dimension ref="B1:U109"/>
  <sheetViews>
    <sheetView zoomScale="150" workbookViewId="0">
      <selection activeCell="P31" sqref="P31"/>
    </sheetView>
  </sheetViews>
  <sheetFormatPr baseColWidth="10" defaultRowHeight="0" customHeight="1" zeroHeight="1" x14ac:dyDescent="0.15"/>
  <cols>
    <col min="1" max="1" width="5.33203125" style="55" customWidth="1"/>
    <col min="2" max="2" width="3.33203125" style="55" customWidth="1"/>
    <col min="3" max="3" width="10.83203125" style="55"/>
    <col min="4" max="4" width="11.5" style="55" customWidth="1"/>
    <col min="5" max="5" width="15.5" style="55" bestFit="1" customWidth="1"/>
    <col min="6" max="7" width="15.5" style="55" hidden="1" customWidth="1"/>
    <col min="8" max="8" width="10.83203125" style="55"/>
    <col min="9" max="11" width="17" style="55" customWidth="1"/>
    <col min="12" max="14" width="16.83203125" style="55" hidden="1" customWidth="1"/>
    <col min="15" max="15" width="15.83203125" style="55" bestFit="1" customWidth="1"/>
    <col min="16" max="17" width="15.83203125" style="55" customWidth="1"/>
    <col min="18" max="18" width="4.5" style="55" customWidth="1"/>
    <col min="19" max="19" width="15.83203125" style="63" customWidth="1"/>
    <col min="20" max="20" width="19.6640625" style="63" bestFit="1" customWidth="1"/>
    <col min="21" max="22" width="4" style="55" customWidth="1"/>
    <col min="23" max="936" width="11.5" style="55" customWidth="1"/>
    <col min="937" max="16384" width="10.83203125" style="55"/>
  </cols>
  <sheetData>
    <row r="1" spans="2:21" s="12" customFormat="1" ht="16" x14ac:dyDescent="0.2">
      <c r="S1" s="51"/>
      <c r="T1" s="51"/>
    </row>
    <row r="2" spans="2:21" s="12" customFormat="1" ht="28" x14ac:dyDescent="0.3">
      <c r="B2" s="13" t="s">
        <v>179</v>
      </c>
      <c r="S2" s="51"/>
      <c r="T2" s="51"/>
    </row>
    <row r="3" spans="2:21" s="12" customFormat="1" ht="16" x14ac:dyDescent="0.2">
      <c r="S3" s="51"/>
      <c r="T3" s="51"/>
    </row>
    <row r="4" spans="2:21" s="12" customFormat="1" ht="16" x14ac:dyDescent="0.2">
      <c r="S4" s="51"/>
      <c r="T4" s="51"/>
    </row>
    <row r="5" spans="2:21" ht="21.75" customHeight="1" thickBot="1" x14ac:dyDescent="0.2">
      <c r="E5" s="192">
        <f>+'Datos EF'!C8</f>
        <v>2025</v>
      </c>
      <c r="F5" s="192"/>
      <c r="G5" s="192"/>
      <c r="H5" s="192"/>
      <c r="I5" s="192"/>
      <c r="J5" s="192"/>
      <c r="K5" s="192"/>
      <c r="L5" s="192"/>
      <c r="M5" s="192"/>
      <c r="N5" s="192"/>
      <c r="O5" s="192"/>
      <c r="P5" s="143">
        <f>+'Datos EF'!D8</f>
        <v>2024</v>
      </c>
      <c r="Q5" s="143">
        <f>+'Datos EF'!E8</f>
        <v>2023</v>
      </c>
      <c r="S5" s="144" t="s">
        <v>99</v>
      </c>
      <c r="T5" s="144" t="s">
        <v>125</v>
      </c>
    </row>
    <row r="6" spans="2:21" ht="13" x14ac:dyDescent="0.15">
      <c r="B6" s="145"/>
      <c r="C6" s="146"/>
      <c r="D6" s="146"/>
      <c r="E6" s="146"/>
      <c r="F6" s="146"/>
      <c r="G6" s="146"/>
      <c r="H6" s="146"/>
      <c r="I6" s="146"/>
      <c r="J6" s="146"/>
      <c r="K6" s="146"/>
      <c r="L6" s="146"/>
      <c r="M6" s="146"/>
      <c r="N6" s="146"/>
      <c r="O6" s="146"/>
      <c r="P6" s="146"/>
      <c r="Q6" s="146"/>
      <c r="R6" s="146"/>
      <c r="S6" s="147"/>
      <c r="T6" s="147"/>
      <c r="U6" s="148"/>
    </row>
    <row r="7" spans="2:21" ht="13" x14ac:dyDescent="0.15">
      <c r="B7" s="149"/>
      <c r="C7" s="53" t="s">
        <v>182</v>
      </c>
      <c r="U7" s="150"/>
    </row>
    <row r="8" spans="2:21" ht="13" x14ac:dyDescent="0.15">
      <c r="B8" s="149"/>
      <c r="E8" s="151">
        <f>+'Datos EF'!I10</f>
        <v>428000</v>
      </c>
      <c r="F8" s="151">
        <f>+'Datos EF'!J10</f>
        <v>378000</v>
      </c>
      <c r="G8" s="151">
        <f>+'Datos EF'!K10</f>
        <v>284000</v>
      </c>
      <c r="H8" s="152" t="s">
        <v>126</v>
      </c>
      <c r="I8" s="151">
        <f>+'Datos EF'!I25</f>
        <v>35000</v>
      </c>
      <c r="J8" s="151">
        <f>+'Datos EF'!J25</f>
        <v>25000</v>
      </c>
      <c r="K8" s="151">
        <f>+'Datos EF'!K25</f>
        <v>10000</v>
      </c>
      <c r="L8" s="152" t="s">
        <v>127</v>
      </c>
      <c r="M8" s="53"/>
      <c r="N8" s="53"/>
      <c r="O8" s="153">
        <f>+IF(ISERROR(E8-I8)," ",E8-I8)</f>
        <v>393000</v>
      </c>
      <c r="P8" s="153">
        <f t="shared" ref="P8:Q8" si="0">+IF(ISERROR(F8-J8)," ",F8-J8)</f>
        <v>353000</v>
      </c>
      <c r="Q8" s="153">
        <f t="shared" si="0"/>
        <v>274000</v>
      </c>
      <c r="R8" s="153"/>
      <c r="S8" s="154" t="s">
        <v>101</v>
      </c>
      <c r="T8" s="154" t="s">
        <v>122</v>
      </c>
      <c r="U8" s="150"/>
    </row>
    <row r="9" spans="2:21" ht="13" x14ac:dyDescent="0.15">
      <c r="B9" s="149"/>
      <c r="U9" s="150"/>
    </row>
    <row r="10" spans="2:21" ht="13" x14ac:dyDescent="0.15">
      <c r="B10" s="149"/>
      <c r="C10" s="53" t="s">
        <v>183</v>
      </c>
      <c r="H10" s="52" t="s">
        <v>128</v>
      </c>
      <c r="I10" s="52"/>
      <c r="J10" s="52"/>
      <c r="K10" s="52"/>
      <c r="L10" s="155">
        <f>+E8</f>
        <v>428000</v>
      </c>
      <c r="M10" s="155">
        <f t="shared" ref="M10:N10" si="1">+F8</f>
        <v>378000</v>
      </c>
      <c r="N10" s="155">
        <f t="shared" si="1"/>
        <v>284000</v>
      </c>
      <c r="O10" s="156">
        <f>+IF(ISERROR(L10/L11)," ",L10/L11)</f>
        <v>12.228571428571428</v>
      </c>
      <c r="P10" s="156">
        <f t="shared" ref="P10:Q10" si="2">+IF(ISERROR(M10/M11)," ",M10/M11)</f>
        <v>15.12</v>
      </c>
      <c r="Q10" s="156">
        <f t="shared" si="2"/>
        <v>28.4</v>
      </c>
      <c r="R10" s="156"/>
      <c r="S10" s="157" t="s">
        <v>101</v>
      </c>
      <c r="T10" s="157" t="s">
        <v>129</v>
      </c>
      <c r="U10" s="150"/>
    </row>
    <row r="11" spans="2:21" ht="13" x14ac:dyDescent="0.15">
      <c r="B11" s="149"/>
      <c r="H11" s="53" t="s">
        <v>130</v>
      </c>
      <c r="I11" s="53"/>
      <c r="J11" s="53"/>
      <c r="K11" s="53"/>
      <c r="L11" s="151">
        <f>+I8</f>
        <v>35000</v>
      </c>
      <c r="M11" s="151">
        <f t="shared" ref="M11:N11" si="3">+J8</f>
        <v>25000</v>
      </c>
      <c r="N11" s="151">
        <f t="shared" si="3"/>
        <v>10000</v>
      </c>
      <c r="O11" s="156"/>
      <c r="P11" s="156"/>
      <c r="Q11" s="156"/>
      <c r="R11" s="156"/>
      <c r="S11" s="157"/>
      <c r="T11" s="157"/>
      <c r="U11" s="150"/>
    </row>
    <row r="12" spans="2:21" ht="14" thickBot="1" x14ac:dyDescent="0.2">
      <c r="B12" s="158"/>
      <c r="C12" s="159"/>
      <c r="D12" s="159"/>
      <c r="E12" s="159"/>
      <c r="F12" s="159"/>
      <c r="G12" s="159"/>
      <c r="H12" s="159"/>
      <c r="I12" s="159"/>
      <c r="J12" s="159"/>
      <c r="K12" s="159"/>
      <c r="L12" s="159"/>
      <c r="M12" s="159"/>
      <c r="N12" s="159"/>
      <c r="O12" s="159"/>
      <c r="P12" s="159"/>
      <c r="Q12" s="159"/>
      <c r="R12" s="159"/>
      <c r="S12" s="160"/>
      <c r="T12" s="160"/>
      <c r="U12" s="161"/>
    </row>
    <row r="13" spans="2:21" ht="14" thickBot="1" x14ac:dyDescent="0.2"/>
    <row r="14" spans="2:21" ht="13" x14ac:dyDescent="0.15">
      <c r="B14" s="145"/>
      <c r="C14" s="146"/>
      <c r="D14" s="146"/>
      <c r="E14" s="146"/>
      <c r="F14" s="146"/>
      <c r="G14" s="146"/>
      <c r="H14" s="146"/>
      <c r="I14" s="146"/>
      <c r="J14" s="146"/>
      <c r="K14" s="146"/>
      <c r="L14" s="146"/>
      <c r="M14" s="146"/>
      <c r="N14" s="146"/>
      <c r="O14" s="146"/>
      <c r="P14" s="146"/>
      <c r="Q14" s="146"/>
      <c r="R14" s="146"/>
      <c r="S14" s="147"/>
      <c r="T14" s="147"/>
      <c r="U14" s="148"/>
    </row>
    <row r="15" spans="2:21" ht="13" x14ac:dyDescent="0.15">
      <c r="B15" s="149"/>
      <c r="C15" s="162" t="s">
        <v>131</v>
      </c>
      <c r="H15" s="52" t="s">
        <v>102</v>
      </c>
      <c r="I15" s="163"/>
      <c r="J15" s="163"/>
      <c r="K15" s="163"/>
      <c r="L15" s="155">
        <f>+'Datos EF'!C14</f>
        <v>210000</v>
      </c>
      <c r="M15" s="155">
        <f>+'Datos EF'!D14</f>
        <v>162000</v>
      </c>
      <c r="N15" s="155">
        <f>+'Datos EF'!E14</f>
        <v>120000</v>
      </c>
      <c r="O15" s="156">
        <f>+IF(ISERROR(L15/L16)," ",L15/L16)</f>
        <v>4.2</v>
      </c>
      <c r="P15" s="156">
        <f t="shared" ref="P15:Q15" si="4">+IF(ISERROR(M15/M16)," ",M15/M16)</f>
        <v>4.05</v>
      </c>
      <c r="Q15" s="156">
        <f t="shared" si="4"/>
        <v>4</v>
      </c>
      <c r="R15" s="156"/>
      <c r="S15" s="157" t="s">
        <v>101</v>
      </c>
      <c r="T15" s="157"/>
      <c r="U15" s="150"/>
    </row>
    <row r="16" spans="2:21" ht="13" x14ac:dyDescent="0.15">
      <c r="B16" s="149"/>
      <c r="H16" s="53" t="s">
        <v>132</v>
      </c>
      <c r="L16" s="151">
        <f>+'Datos EF'!I13</f>
        <v>50000</v>
      </c>
      <c r="M16" s="151">
        <f>+'Datos EF'!J13</f>
        <v>40000</v>
      </c>
      <c r="N16" s="151">
        <f>+'Datos EF'!K13</f>
        <v>30000</v>
      </c>
      <c r="O16" s="156"/>
      <c r="P16" s="156"/>
      <c r="Q16" s="156"/>
      <c r="R16" s="156"/>
      <c r="S16" s="157"/>
      <c r="T16" s="157"/>
      <c r="U16" s="150"/>
    </row>
    <row r="17" spans="2:21" ht="13" x14ac:dyDescent="0.15">
      <c r="B17" s="149"/>
      <c r="U17" s="150"/>
    </row>
    <row r="18" spans="2:21" ht="13" x14ac:dyDescent="0.15">
      <c r="B18" s="149"/>
      <c r="C18" s="162" t="s">
        <v>133</v>
      </c>
      <c r="H18" s="52" t="s">
        <v>134</v>
      </c>
      <c r="I18" s="163"/>
      <c r="J18" s="163"/>
      <c r="K18" s="163"/>
      <c r="L18" s="164">
        <v>12</v>
      </c>
      <c r="M18" s="164">
        <v>12</v>
      </c>
      <c r="N18" s="164">
        <v>12</v>
      </c>
      <c r="O18" s="156">
        <f>+IF(ISERROR(L18/L19)," ",L18/L19)</f>
        <v>2.8571428571428572</v>
      </c>
      <c r="P18" s="156">
        <f t="shared" ref="P18:Q18" si="5">+IF(ISERROR(M18/M19)," ",M18/M19)</f>
        <v>2.9629629629629632</v>
      </c>
      <c r="Q18" s="156">
        <f t="shared" si="5"/>
        <v>3</v>
      </c>
      <c r="R18" s="156"/>
      <c r="S18" s="157"/>
      <c r="T18" s="157"/>
      <c r="U18" s="150"/>
    </row>
    <row r="19" spans="2:21" ht="13" x14ac:dyDescent="0.15">
      <c r="B19" s="149"/>
      <c r="H19" s="53" t="s">
        <v>135</v>
      </c>
      <c r="L19" s="151">
        <f>+O15</f>
        <v>4.2</v>
      </c>
      <c r="M19" s="151">
        <f t="shared" ref="M19:N19" si="6">+P15</f>
        <v>4.05</v>
      </c>
      <c r="N19" s="151">
        <f t="shared" si="6"/>
        <v>4</v>
      </c>
      <c r="O19" s="156"/>
      <c r="P19" s="156"/>
      <c r="Q19" s="156"/>
      <c r="R19" s="156"/>
      <c r="S19" s="157"/>
      <c r="T19" s="157"/>
      <c r="U19" s="150"/>
    </row>
    <row r="20" spans="2:21" ht="13" x14ac:dyDescent="0.15">
      <c r="B20" s="149"/>
      <c r="U20" s="150"/>
    </row>
    <row r="21" spans="2:21" ht="13" x14ac:dyDescent="0.15">
      <c r="B21" s="149"/>
      <c r="C21" s="162" t="s">
        <v>136</v>
      </c>
      <c r="H21" s="52" t="s">
        <v>137</v>
      </c>
      <c r="I21" s="163"/>
      <c r="J21" s="163"/>
      <c r="K21" s="163"/>
      <c r="L21" s="164">
        <v>360</v>
      </c>
      <c r="M21" s="164">
        <v>360</v>
      </c>
      <c r="N21" s="164">
        <v>360</v>
      </c>
      <c r="O21" s="156">
        <f>+IF(ISERROR(L21/L22)," ",L21/L22)</f>
        <v>85.714285714285708</v>
      </c>
      <c r="P21" s="156">
        <f t="shared" ref="P21:Q21" si="7">+IF(ISERROR(M21/M22)," ",M21/M22)</f>
        <v>88.888888888888886</v>
      </c>
      <c r="Q21" s="156">
        <f t="shared" si="7"/>
        <v>90</v>
      </c>
      <c r="R21" s="156"/>
      <c r="S21" s="157"/>
      <c r="T21" s="157"/>
      <c r="U21" s="150"/>
    </row>
    <row r="22" spans="2:21" ht="13" x14ac:dyDescent="0.15">
      <c r="B22" s="149"/>
      <c r="H22" s="53" t="s">
        <v>135</v>
      </c>
      <c r="L22" s="151">
        <f>+O15</f>
        <v>4.2</v>
      </c>
      <c r="M22" s="151">
        <f t="shared" ref="M22:N22" si="8">+P15</f>
        <v>4.05</v>
      </c>
      <c r="N22" s="151">
        <f t="shared" si="8"/>
        <v>4</v>
      </c>
      <c r="O22" s="156"/>
      <c r="P22" s="156"/>
      <c r="Q22" s="156"/>
      <c r="R22" s="156"/>
      <c r="S22" s="157"/>
      <c r="T22" s="157"/>
      <c r="U22" s="150"/>
    </row>
    <row r="23" spans="2:21" ht="14" thickBot="1" x14ac:dyDescent="0.2">
      <c r="B23" s="158"/>
      <c r="C23" s="159"/>
      <c r="D23" s="159"/>
      <c r="E23" s="159"/>
      <c r="F23" s="159"/>
      <c r="G23" s="159"/>
      <c r="H23" s="159"/>
      <c r="I23" s="159"/>
      <c r="J23" s="159"/>
      <c r="K23" s="159"/>
      <c r="L23" s="159"/>
      <c r="M23" s="159"/>
      <c r="N23" s="159"/>
      <c r="O23" s="159"/>
      <c r="P23" s="159"/>
      <c r="Q23" s="159"/>
      <c r="R23" s="159"/>
      <c r="S23" s="160"/>
      <c r="T23" s="160"/>
      <c r="U23" s="161"/>
    </row>
    <row r="24" spans="2:21" ht="14" thickBot="1" x14ac:dyDescent="0.2"/>
    <row r="25" spans="2:21" ht="13" x14ac:dyDescent="0.15">
      <c r="B25" s="145"/>
      <c r="C25" s="146"/>
      <c r="D25" s="146"/>
      <c r="E25" s="146"/>
      <c r="F25" s="146"/>
      <c r="G25" s="146"/>
      <c r="H25" s="146"/>
      <c r="I25" s="146"/>
      <c r="J25" s="146"/>
      <c r="K25" s="146"/>
      <c r="L25" s="146"/>
      <c r="M25" s="146"/>
      <c r="N25" s="146"/>
      <c r="O25" s="146"/>
      <c r="P25" s="146"/>
      <c r="Q25" s="146"/>
      <c r="R25" s="146"/>
      <c r="S25" s="147"/>
      <c r="T25" s="147"/>
      <c r="U25" s="148"/>
    </row>
    <row r="26" spans="2:21" ht="13" x14ac:dyDescent="0.15">
      <c r="B26" s="149"/>
      <c r="C26" s="162" t="s">
        <v>138</v>
      </c>
      <c r="H26" s="52" t="s">
        <v>139</v>
      </c>
      <c r="I26" s="163"/>
      <c r="J26" s="163"/>
      <c r="K26" s="163"/>
      <c r="L26" s="155">
        <f>+'Datos EF'!C12</f>
        <v>250000</v>
      </c>
      <c r="M26" s="155">
        <f>+'Datos EF'!D12</f>
        <v>180000</v>
      </c>
      <c r="N26" s="155">
        <f>+'Datos EF'!E12</f>
        <v>125000</v>
      </c>
      <c r="O26" s="165">
        <f>+IF(ISERROR(L26/L27)," ",L26/L27)</f>
        <v>31.25</v>
      </c>
      <c r="P26" s="165">
        <f t="shared" ref="P26:Q26" si="9">+IF(ISERROR(M26/M27)," ",M26/M27)</f>
        <v>36</v>
      </c>
      <c r="Q26" s="165">
        <f t="shared" si="9"/>
        <v>25</v>
      </c>
      <c r="R26" s="165"/>
      <c r="S26" s="166" t="s">
        <v>101</v>
      </c>
      <c r="T26" s="166"/>
      <c r="U26" s="150"/>
    </row>
    <row r="27" spans="2:21" ht="13" x14ac:dyDescent="0.15">
      <c r="B27" s="149"/>
      <c r="H27" s="53" t="s">
        <v>140</v>
      </c>
      <c r="L27" s="167">
        <f>+'Datos EF'!I14</f>
        <v>8000</v>
      </c>
      <c r="M27" s="167">
        <f>+'Datos EF'!J14</f>
        <v>5000</v>
      </c>
      <c r="N27" s="167">
        <f>+'Datos EF'!K14</f>
        <v>5000</v>
      </c>
      <c r="O27" s="165"/>
      <c r="P27" s="165"/>
      <c r="Q27" s="165"/>
      <c r="R27" s="165"/>
      <c r="S27" s="166"/>
      <c r="T27" s="166"/>
      <c r="U27" s="150"/>
    </row>
    <row r="28" spans="2:21" ht="13" x14ac:dyDescent="0.15">
      <c r="B28" s="149"/>
      <c r="U28" s="150"/>
    </row>
    <row r="29" spans="2:21" ht="13" x14ac:dyDescent="0.15">
      <c r="B29" s="149"/>
      <c r="C29" s="162" t="s">
        <v>141</v>
      </c>
      <c r="H29" s="52"/>
      <c r="I29" s="52" t="s">
        <v>134</v>
      </c>
      <c r="J29" s="52"/>
      <c r="K29" s="52"/>
      <c r="L29" s="164">
        <v>12</v>
      </c>
      <c r="M29" s="155">
        <v>12</v>
      </c>
      <c r="N29" s="155">
        <v>12</v>
      </c>
      <c r="O29" s="165">
        <f>+IF(ISERROR(L29/L30)," ",L29/L30)</f>
        <v>0.38400000000000001</v>
      </c>
      <c r="P29" s="165">
        <f t="shared" ref="P29:Q30" si="10">+IF(ISERROR(M29/M30)," ",M29/M30)</f>
        <v>0.33333333333333331</v>
      </c>
      <c r="Q29" s="165">
        <f t="shared" si="10"/>
        <v>0.48</v>
      </c>
      <c r="R29" s="165"/>
      <c r="S29" s="166"/>
      <c r="T29" s="166"/>
      <c r="U29" s="150"/>
    </row>
    <row r="30" spans="2:21" ht="13" x14ac:dyDescent="0.15">
      <c r="B30" s="149"/>
      <c r="H30" s="53" t="s">
        <v>135</v>
      </c>
      <c r="L30" s="167">
        <f>+O26</f>
        <v>31.25</v>
      </c>
      <c r="M30" s="167">
        <f t="shared" ref="M30:N30" si="11">+P26</f>
        <v>36</v>
      </c>
      <c r="N30" s="167">
        <f t="shared" si="11"/>
        <v>25</v>
      </c>
      <c r="O30" s="165" t="str">
        <f t="shared" ref="O30:Q32" si="12">+IF(ISERROR(L30/L31)," ",L30/L31)</f>
        <v xml:space="preserve"> </v>
      </c>
      <c r="P30" s="165" t="str">
        <f t="shared" si="10"/>
        <v xml:space="preserve"> </v>
      </c>
      <c r="Q30" s="165" t="str">
        <f t="shared" si="10"/>
        <v xml:space="preserve"> </v>
      </c>
      <c r="R30" s="165"/>
      <c r="S30" s="166"/>
      <c r="T30" s="166"/>
      <c r="U30" s="150"/>
    </row>
    <row r="31" spans="2:21" ht="13" x14ac:dyDescent="0.15">
      <c r="B31" s="149"/>
      <c r="O31" s="165"/>
      <c r="P31" s="165"/>
      <c r="Q31" s="165"/>
      <c r="U31" s="150"/>
    </row>
    <row r="32" spans="2:21" ht="13" x14ac:dyDescent="0.15">
      <c r="B32" s="149"/>
      <c r="C32" s="162" t="s">
        <v>142</v>
      </c>
      <c r="H32" s="52"/>
      <c r="I32" s="52" t="s">
        <v>137</v>
      </c>
      <c r="J32" s="52"/>
      <c r="K32" s="52"/>
      <c r="L32" s="155">
        <v>360</v>
      </c>
      <c r="M32" s="155">
        <v>360</v>
      </c>
      <c r="N32" s="155">
        <v>360</v>
      </c>
      <c r="O32" s="165">
        <f t="shared" si="12"/>
        <v>11.52</v>
      </c>
      <c r="P32" s="165">
        <f t="shared" si="12"/>
        <v>10</v>
      </c>
      <c r="Q32" s="165">
        <f t="shared" si="12"/>
        <v>14.4</v>
      </c>
      <c r="R32" s="165"/>
      <c r="S32" s="166" t="s">
        <v>101</v>
      </c>
      <c r="T32" s="166"/>
      <c r="U32" s="150"/>
    </row>
    <row r="33" spans="2:21" ht="13" x14ac:dyDescent="0.15">
      <c r="B33" s="149"/>
      <c r="H33" s="53" t="s">
        <v>135</v>
      </c>
      <c r="L33" s="167">
        <f>+O26</f>
        <v>31.25</v>
      </c>
      <c r="M33" s="167">
        <f t="shared" ref="M33:N33" si="13">+P26</f>
        <v>36</v>
      </c>
      <c r="N33" s="167">
        <f t="shared" si="13"/>
        <v>25</v>
      </c>
      <c r="O33" s="165"/>
      <c r="P33" s="165"/>
      <c r="Q33" s="165"/>
      <c r="R33" s="165"/>
      <c r="S33" s="166"/>
      <c r="T33" s="166"/>
      <c r="U33" s="150"/>
    </row>
    <row r="34" spans="2:21" ht="14" thickBot="1" x14ac:dyDescent="0.2">
      <c r="B34" s="158"/>
      <c r="C34" s="159"/>
      <c r="D34" s="159"/>
      <c r="E34" s="159"/>
      <c r="F34" s="159"/>
      <c r="G34" s="159"/>
      <c r="H34" s="159"/>
      <c r="I34" s="159"/>
      <c r="J34" s="159"/>
      <c r="K34" s="159"/>
      <c r="L34" s="159"/>
      <c r="M34" s="159"/>
      <c r="N34" s="159"/>
      <c r="O34" s="159"/>
      <c r="P34" s="159"/>
      <c r="Q34" s="159"/>
      <c r="R34" s="159"/>
      <c r="S34" s="160"/>
      <c r="T34" s="160"/>
      <c r="U34" s="161"/>
    </row>
    <row r="35" spans="2:21" ht="14" thickBot="1" x14ac:dyDescent="0.2"/>
    <row r="36" spans="2:21" ht="13" x14ac:dyDescent="0.15">
      <c r="B36" s="145"/>
      <c r="C36" s="146"/>
      <c r="D36" s="146"/>
      <c r="E36" s="146"/>
      <c r="F36" s="146"/>
      <c r="G36" s="146"/>
      <c r="H36" s="146"/>
      <c r="I36" s="146"/>
      <c r="J36" s="146"/>
      <c r="K36" s="146"/>
      <c r="L36" s="146"/>
      <c r="M36" s="146"/>
      <c r="N36" s="146"/>
      <c r="O36" s="146"/>
      <c r="P36" s="146"/>
      <c r="Q36" s="146"/>
      <c r="R36" s="146"/>
      <c r="S36" s="147"/>
      <c r="T36" s="147"/>
      <c r="U36" s="148"/>
    </row>
    <row r="37" spans="2:21" ht="13" x14ac:dyDescent="0.15">
      <c r="B37" s="149"/>
      <c r="C37" s="162" t="s">
        <v>143</v>
      </c>
      <c r="H37" s="52" t="s">
        <v>144</v>
      </c>
      <c r="I37" s="163"/>
      <c r="J37" s="163"/>
      <c r="K37" s="163"/>
      <c r="L37" s="155">
        <f>+'Datos EF'!C14</f>
        <v>210000</v>
      </c>
      <c r="M37" s="155">
        <f>+'Datos EF'!D14</f>
        <v>162000</v>
      </c>
      <c r="N37" s="155">
        <f>+'Datos EF'!E14</f>
        <v>120000</v>
      </c>
      <c r="O37" s="156" t="str">
        <f>+IF(ISERROR(L37/L38)," ",L37/L38)</f>
        <v xml:space="preserve"> </v>
      </c>
      <c r="P37" s="156" t="str">
        <f t="shared" ref="P37:Q37" si="14">+IF(ISERROR(M37/M38)," ",M37/M38)</f>
        <v xml:space="preserve"> </v>
      </c>
      <c r="Q37" s="156" t="str">
        <f t="shared" si="14"/>
        <v xml:space="preserve"> </v>
      </c>
      <c r="R37" s="156"/>
      <c r="S37" s="157" t="s">
        <v>145</v>
      </c>
      <c r="T37" s="157"/>
      <c r="U37" s="150"/>
    </row>
    <row r="38" spans="2:21" ht="13" x14ac:dyDescent="0.15">
      <c r="B38" s="149"/>
      <c r="H38" s="53" t="s">
        <v>146</v>
      </c>
      <c r="L38" s="151">
        <f>+'Datos EF'!I26</f>
        <v>0</v>
      </c>
      <c r="M38" s="151">
        <f>+'Datos EF'!J26</f>
        <v>0</v>
      </c>
      <c r="N38" s="151">
        <f>+'Datos EF'!K26</f>
        <v>0</v>
      </c>
      <c r="O38" s="156"/>
      <c r="P38" s="156"/>
      <c r="Q38" s="156"/>
      <c r="R38" s="156"/>
      <c r="S38" s="157"/>
      <c r="T38" s="157"/>
      <c r="U38" s="150"/>
    </row>
    <row r="39" spans="2:21" ht="13" x14ac:dyDescent="0.15">
      <c r="B39" s="149"/>
      <c r="U39" s="150"/>
    </row>
    <row r="40" spans="2:21" ht="13" x14ac:dyDescent="0.15">
      <c r="B40" s="149"/>
      <c r="C40" s="162" t="s">
        <v>147</v>
      </c>
      <c r="H40" s="52"/>
      <c r="I40" s="52" t="s">
        <v>134</v>
      </c>
      <c r="J40" s="52"/>
      <c r="K40" s="52"/>
      <c r="L40" s="164">
        <v>12</v>
      </c>
      <c r="M40" s="164">
        <v>12</v>
      </c>
      <c r="N40" s="164">
        <v>12</v>
      </c>
      <c r="O40" s="156" t="str">
        <f>+IF(ISERROR(L40/L41)," ",L40/L41)</f>
        <v xml:space="preserve"> </v>
      </c>
      <c r="P40" s="156" t="str">
        <f t="shared" ref="P40:Q40" si="15">+IF(ISERROR(M40/M41)," ",M40/M41)</f>
        <v xml:space="preserve"> </v>
      </c>
      <c r="Q40" s="156" t="str">
        <f t="shared" si="15"/>
        <v xml:space="preserve"> </v>
      </c>
      <c r="R40" s="156"/>
      <c r="S40" s="157"/>
      <c r="T40" s="157"/>
      <c r="U40" s="150"/>
    </row>
    <row r="41" spans="2:21" ht="13" x14ac:dyDescent="0.15">
      <c r="B41" s="149"/>
      <c r="H41" s="53" t="s">
        <v>135</v>
      </c>
      <c r="L41" s="151" t="str">
        <f>+O37</f>
        <v xml:space="preserve"> </v>
      </c>
      <c r="M41" s="151" t="str">
        <f t="shared" ref="M41:N41" si="16">+P37</f>
        <v xml:space="preserve"> </v>
      </c>
      <c r="N41" s="151" t="str">
        <f t="shared" si="16"/>
        <v xml:space="preserve"> </v>
      </c>
      <c r="O41" s="156"/>
      <c r="P41" s="156"/>
      <c r="Q41" s="156"/>
      <c r="R41" s="156"/>
      <c r="S41" s="157"/>
      <c r="T41" s="157"/>
      <c r="U41" s="150"/>
    </row>
    <row r="42" spans="2:21" ht="13" x14ac:dyDescent="0.15">
      <c r="B42" s="149"/>
      <c r="U42" s="150"/>
    </row>
    <row r="43" spans="2:21" ht="13" x14ac:dyDescent="0.15">
      <c r="B43" s="149"/>
      <c r="C43" s="162" t="s">
        <v>148</v>
      </c>
      <c r="H43" s="52"/>
      <c r="I43" s="52" t="s">
        <v>137</v>
      </c>
      <c r="J43" s="52"/>
      <c r="K43" s="52"/>
      <c r="L43" s="164">
        <v>360</v>
      </c>
      <c r="M43" s="164">
        <v>360</v>
      </c>
      <c r="N43" s="164">
        <v>360</v>
      </c>
      <c r="O43" s="156" t="str">
        <f>+IF(ISERROR(L43/L44)," ",L43/L44)</f>
        <v xml:space="preserve"> </v>
      </c>
      <c r="P43" s="156" t="str">
        <f t="shared" ref="P43:Q43" si="17">+IF(ISERROR(M43/M44)," ",M43/M44)</f>
        <v xml:space="preserve"> </v>
      </c>
      <c r="Q43" s="156" t="str">
        <f t="shared" si="17"/>
        <v xml:space="preserve"> </v>
      </c>
      <c r="R43" s="156"/>
      <c r="S43" s="157"/>
      <c r="T43" s="157"/>
      <c r="U43" s="150"/>
    </row>
    <row r="44" spans="2:21" ht="13" x14ac:dyDescent="0.15">
      <c r="B44" s="149"/>
      <c r="H44" s="53" t="s">
        <v>135</v>
      </c>
      <c r="L44" s="151" t="str">
        <f>+O37</f>
        <v xml:space="preserve"> </v>
      </c>
      <c r="M44" s="151" t="str">
        <f t="shared" ref="M44:N44" si="18">+P37</f>
        <v xml:space="preserve"> </v>
      </c>
      <c r="N44" s="151" t="str">
        <f t="shared" si="18"/>
        <v xml:space="preserve"> </v>
      </c>
      <c r="O44" s="156"/>
      <c r="P44" s="156"/>
      <c r="Q44" s="156"/>
      <c r="R44" s="156"/>
      <c r="S44" s="157"/>
      <c r="T44" s="157"/>
      <c r="U44" s="150"/>
    </row>
    <row r="45" spans="2:21" ht="14" thickBot="1" x14ac:dyDescent="0.2">
      <c r="B45" s="158"/>
      <c r="C45" s="159"/>
      <c r="D45" s="159"/>
      <c r="E45" s="159"/>
      <c r="F45" s="159"/>
      <c r="G45" s="159"/>
      <c r="H45" s="159"/>
      <c r="I45" s="159"/>
      <c r="J45" s="159"/>
      <c r="K45" s="159"/>
      <c r="L45" s="159"/>
      <c r="M45" s="159"/>
      <c r="N45" s="159"/>
      <c r="O45" s="159"/>
      <c r="P45" s="159"/>
      <c r="Q45" s="159"/>
      <c r="R45" s="159"/>
      <c r="S45" s="160"/>
      <c r="T45" s="160"/>
      <c r="U45" s="161"/>
    </row>
    <row r="46" spans="2:21" ht="14" thickBot="1" x14ac:dyDescent="0.2"/>
    <row r="47" spans="2:21" ht="13" x14ac:dyDescent="0.15">
      <c r="B47" s="145"/>
      <c r="C47" s="146"/>
      <c r="D47" s="146"/>
      <c r="E47" s="146"/>
      <c r="F47" s="146"/>
      <c r="G47" s="146"/>
      <c r="H47" s="146"/>
      <c r="I47" s="146"/>
      <c r="J47" s="146"/>
      <c r="K47" s="146"/>
      <c r="L47" s="146"/>
      <c r="M47" s="146"/>
      <c r="N47" s="146"/>
      <c r="O47" s="146"/>
      <c r="P47" s="146"/>
      <c r="Q47" s="146"/>
      <c r="R47" s="146"/>
      <c r="S47" s="147"/>
      <c r="T47" s="147"/>
      <c r="U47" s="148"/>
    </row>
    <row r="48" spans="2:21" ht="13" x14ac:dyDescent="0.15">
      <c r="B48" s="149"/>
      <c r="C48" s="162" t="s">
        <v>111</v>
      </c>
      <c r="H48" s="52" t="s">
        <v>149</v>
      </c>
      <c r="I48" s="163"/>
      <c r="J48" s="163"/>
      <c r="K48" s="163"/>
      <c r="L48" s="155">
        <f>+'Datos EF'!I24</f>
        <v>335000</v>
      </c>
      <c r="M48" s="155">
        <f>+'Datos EF'!J24</f>
        <v>375000</v>
      </c>
      <c r="N48" s="155">
        <f>+'Datos EF'!K24</f>
        <v>410000</v>
      </c>
      <c r="O48" s="156">
        <f>+IF(ISERROR(L48/L49)," ",L48/L49)</f>
        <v>0.40458937198067635</v>
      </c>
      <c r="P48" s="156">
        <f t="shared" ref="P48:Q48" si="19">+IF(ISERROR(M48/M49)," ",M48/M49)</f>
        <v>0.4820051413881748</v>
      </c>
      <c r="Q48" s="156">
        <f t="shared" si="19"/>
        <v>0.59941520467836262</v>
      </c>
      <c r="R48" s="156"/>
      <c r="S48" s="157" t="s">
        <v>101</v>
      </c>
      <c r="T48" s="157" t="s">
        <v>122</v>
      </c>
      <c r="U48" s="150"/>
    </row>
    <row r="49" spans="2:21" ht="13" x14ac:dyDescent="0.15">
      <c r="B49" s="149"/>
      <c r="H49" s="53" t="s">
        <v>150</v>
      </c>
      <c r="L49" s="151">
        <f>+'Datos EF'!I9</f>
        <v>828000</v>
      </c>
      <c r="M49" s="151">
        <f>+'Datos EF'!J9</f>
        <v>778000</v>
      </c>
      <c r="N49" s="151">
        <f>+'Datos EF'!K9</f>
        <v>684000</v>
      </c>
      <c r="O49" s="156"/>
      <c r="P49" s="156"/>
      <c r="Q49" s="156"/>
      <c r="R49" s="156"/>
      <c r="S49" s="157"/>
      <c r="T49" s="157"/>
      <c r="U49" s="150"/>
    </row>
    <row r="50" spans="2:21" ht="14" thickBot="1" x14ac:dyDescent="0.2">
      <c r="B50" s="158"/>
      <c r="C50" s="159"/>
      <c r="D50" s="159"/>
      <c r="E50" s="159"/>
      <c r="F50" s="159"/>
      <c r="G50" s="159"/>
      <c r="H50" s="159"/>
      <c r="I50" s="159"/>
      <c r="J50" s="159"/>
      <c r="K50" s="159"/>
      <c r="L50" s="159"/>
      <c r="M50" s="159"/>
      <c r="N50" s="159"/>
      <c r="O50" s="159"/>
      <c r="P50" s="159"/>
      <c r="Q50" s="159"/>
      <c r="R50" s="159"/>
      <c r="S50" s="160"/>
      <c r="T50" s="160"/>
      <c r="U50" s="161"/>
    </row>
    <row r="51" spans="2:21" ht="14" thickBot="1" x14ac:dyDescent="0.2"/>
    <row r="52" spans="2:21" ht="13" x14ac:dyDescent="0.15">
      <c r="B52" s="145"/>
      <c r="C52" s="146"/>
      <c r="D52" s="146"/>
      <c r="E52" s="146"/>
      <c r="F52" s="146"/>
      <c r="G52" s="146"/>
      <c r="H52" s="146"/>
      <c r="I52" s="146"/>
      <c r="J52" s="146"/>
      <c r="K52" s="146"/>
      <c r="L52" s="146"/>
      <c r="M52" s="146"/>
      <c r="N52" s="146"/>
      <c r="O52" s="146"/>
      <c r="P52" s="146"/>
      <c r="Q52" s="146"/>
      <c r="R52" s="146"/>
      <c r="S52" s="147"/>
      <c r="T52" s="147"/>
      <c r="U52" s="148"/>
    </row>
    <row r="53" spans="2:21" ht="13" x14ac:dyDescent="0.15">
      <c r="B53" s="149"/>
      <c r="C53" s="162" t="s">
        <v>112</v>
      </c>
      <c r="H53" s="52" t="s">
        <v>149</v>
      </c>
      <c r="I53" s="163"/>
      <c r="J53" s="163"/>
      <c r="K53" s="163"/>
      <c r="L53" s="155">
        <f>+'Datos EF'!I24</f>
        <v>335000</v>
      </c>
      <c r="M53" s="155">
        <f>+'Datos EF'!J24</f>
        <v>375000</v>
      </c>
      <c r="N53" s="155">
        <f>+'Datos EF'!K24</f>
        <v>410000</v>
      </c>
      <c r="O53" s="156">
        <f>+IF(ISERROR(L53/L54)," ",L53/L54)</f>
        <v>0.67951318458417853</v>
      </c>
      <c r="P53" s="156">
        <f t="shared" ref="P53:Q53" si="20">+IF(ISERROR(M53/M54)," ",M53/M54)</f>
        <v>0.9305210918114144</v>
      </c>
      <c r="Q53" s="156">
        <f t="shared" si="20"/>
        <v>1.4963503649635037</v>
      </c>
      <c r="R53" s="156"/>
      <c r="S53" s="157" t="s">
        <v>101</v>
      </c>
      <c r="T53" s="157" t="s">
        <v>151</v>
      </c>
      <c r="U53" s="150"/>
    </row>
    <row r="54" spans="2:21" ht="13" x14ac:dyDescent="0.15">
      <c r="B54" s="149"/>
      <c r="H54" s="53" t="s">
        <v>152</v>
      </c>
      <c r="L54" s="151">
        <f>+'Datos EF'!I36</f>
        <v>493000</v>
      </c>
      <c r="M54" s="151">
        <f>+'Datos EF'!J36</f>
        <v>403000</v>
      </c>
      <c r="N54" s="151">
        <f>+'Datos EF'!K36</f>
        <v>274000</v>
      </c>
      <c r="O54" s="156"/>
      <c r="P54" s="156"/>
      <c r="Q54" s="156"/>
      <c r="R54" s="156"/>
      <c r="S54" s="157"/>
      <c r="T54" s="157"/>
      <c r="U54" s="150"/>
    </row>
    <row r="55" spans="2:21" ht="14" thickBot="1" x14ac:dyDescent="0.2">
      <c r="B55" s="158"/>
      <c r="C55" s="159"/>
      <c r="D55" s="159"/>
      <c r="E55" s="159"/>
      <c r="F55" s="159"/>
      <c r="G55" s="159"/>
      <c r="H55" s="159"/>
      <c r="I55" s="159"/>
      <c r="J55" s="159"/>
      <c r="K55" s="159"/>
      <c r="L55" s="159"/>
      <c r="M55" s="159"/>
      <c r="N55" s="159"/>
      <c r="O55" s="159"/>
      <c r="P55" s="159"/>
      <c r="Q55" s="159"/>
      <c r="R55" s="159"/>
      <c r="S55" s="160"/>
      <c r="T55" s="160"/>
      <c r="U55" s="161"/>
    </row>
    <row r="56" spans="2:21" ht="14" thickBot="1" x14ac:dyDescent="0.2"/>
    <row r="57" spans="2:21" ht="13" x14ac:dyDescent="0.15">
      <c r="B57" s="145"/>
      <c r="C57" s="146"/>
      <c r="D57" s="146"/>
      <c r="E57" s="146"/>
      <c r="F57" s="146"/>
      <c r="G57" s="146"/>
      <c r="H57" s="146"/>
      <c r="I57" s="146"/>
      <c r="J57" s="146"/>
      <c r="K57" s="146"/>
      <c r="L57" s="146"/>
      <c r="M57" s="146"/>
      <c r="N57" s="146"/>
      <c r="O57" s="146"/>
      <c r="P57" s="146"/>
      <c r="Q57" s="146"/>
      <c r="R57" s="146"/>
      <c r="S57" s="147"/>
      <c r="T57" s="147"/>
      <c r="U57" s="148"/>
    </row>
    <row r="58" spans="2:21" ht="13" x14ac:dyDescent="0.15">
      <c r="B58" s="149"/>
      <c r="C58" s="162" t="s">
        <v>153</v>
      </c>
      <c r="H58" s="52" t="s">
        <v>154</v>
      </c>
      <c r="I58" s="163"/>
      <c r="J58" s="163"/>
      <c r="K58" s="163"/>
      <c r="L58" s="155">
        <f>+'Analisis Ebitda'!F11+'Analisis Ebitda'!F12</f>
        <v>28500</v>
      </c>
      <c r="M58" s="155">
        <f>+'Analisis Ebitda'!G11+'Analisis Ebitda'!G12</f>
        <v>16250</v>
      </c>
      <c r="N58" s="155">
        <f>+'Analisis Ebitda'!H11+'Analisis Ebitda'!H12</f>
        <v>15750</v>
      </c>
      <c r="O58" s="156">
        <f>+IF(ISERROR(L58/L59)," ",L58/L59)</f>
        <v>1.5833333333333333</v>
      </c>
      <c r="P58" s="156">
        <f t="shared" ref="P58:Q58" si="21">+IF(ISERROR(M58/M59)," ",M58/M59)</f>
        <v>0.90277777777777779</v>
      </c>
      <c r="Q58" s="156">
        <f t="shared" si="21"/>
        <v>0.875</v>
      </c>
      <c r="R58" s="156"/>
      <c r="S58" s="157"/>
      <c r="T58" s="157"/>
      <c r="U58" s="150"/>
    </row>
    <row r="59" spans="2:21" ht="13" x14ac:dyDescent="0.15">
      <c r="B59" s="149"/>
      <c r="C59" s="162" t="s">
        <v>155</v>
      </c>
      <c r="H59" s="53" t="s">
        <v>156</v>
      </c>
      <c r="L59" s="151">
        <f>+'Analisis Ebitda'!F13</f>
        <v>18000</v>
      </c>
      <c r="M59" s="151">
        <f>+'Analisis Ebitda'!G13</f>
        <v>18000</v>
      </c>
      <c r="N59" s="151">
        <f>+'Analisis Ebitda'!H13</f>
        <v>18000</v>
      </c>
      <c r="O59" s="156"/>
      <c r="P59" s="156"/>
      <c r="Q59" s="156"/>
      <c r="R59" s="156"/>
      <c r="S59" s="157"/>
      <c r="T59" s="157"/>
      <c r="U59" s="150"/>
    </row>
    <row r="60" spans="2:21" ht="14" thickBot="1" x14ac:dyDescent="0.2">
      <c r="B60" s="158"/>
      <c r="C60" s="159"/>
      <c r="D60" s="159"/>
      <c r="E60" s="159"/>
      <c r="F60" s="159"/>
      <c r="G60" s="159"/>
      <c r="H60" s="159"/>
      <c r="I60" s="159"/>
      <c r="J60" s="159"/>
      <c r="K60" s="159"/>
      <c r="L60" s="159"/>
      <c r="M60" s="159"/>
      <c r="N60" s="159"/>
      <c r="O60" s="159"/>
      <c r="P60" s="159"/>
      <c r="Q60" s="159"/>
      <c r="R60" s="159"/>
      <c r="S60" s="160"/>
      <c r="T60" s="160"/>
      <c r="U60" s="161"/>
    </row>
    <row r="61" spans="2:21" ht="14" thickBot="1" x14ac:dyDescent="0.2"/>
    <row r="62" spans="2:21" ht="13" x14ac:dyDescent="0.15">
      <c r="B62" s="145"/>
      <c r="C62" s="146"/>
      <c r="D62" s="146"/>
      <c r="E62" s="146"/>
      <c r="F62" s="146"/>
      <c r="G62" s="146"/>
      <c r="H62" s="146"/>
      <c r="I62" s="146"/>
      <c r="J62" s="146"/>
      <c r="K62" s="146"/>
      <c r="L62" s="146"/>
      <c r="M62" s="146"/>
      <c r="N62" s="146"/>
      <c r="O62" s="146"/>
      <c r="P62" s="146"/>
      <c r="Q62" s="146"/>
      <c r="R62" s="146"/>
      <c r="S62" s="147"/>
      <c r="T62" s="147"/>
      <c r="U62" s="148"/>
    </row>
    <row r="63" spans="2:21" ht="13" x14ac:dyDescent="0.15">
      <c r="B63" s="149"/>
      <c r="C63" s="162" t="s">
        <v>114</v>
      </c>
      <c r="H63" s="52" t="s">
        <v>4</v>
      </c>
      <c r="I63" s="163"/>
      <c r="J63" s="163"/>
      <c r="K63" s="163"/>
      <c r="L63" s="155">
        <f>+L58</f>
        <v>28500</v>
      </c>
      <c r="M63" s="155">
        <f t="shared" ref="M63:N63" si="22">+M58</f>
        <v>16250</v>
      </c>
      <c r="N63" s="155">
        <f t="shared" si="22"/>
        <v>15750</v>
      </c>
      <c r="O63" s="168">
        <f>+IF(ISERROR(L63/L64)," ",L63/L64)</f>
        <v>8.1428571428571433E-2</v>
      </c>
      <c r="P63" s="168">
        <f t="shared" ref="P63:Q63" si="23">+IF(ISERROR(M63/M64)," ",M63/M64)</f>
        <v>6.0185185185185182E-2</v>
      </c>
      <c r="Q63" s="168">
        <f t="shared" si="23"/>
        <v>7.8750000000000001E-2</v>
      </c>
      <c r="R63" s="168"/>
      <c r="S63" s="169" t="s">
        <v>101</v>
      </c>
      <c r="T63" s="170">
        <v>0.08</v>
      </c>
      <c r="U63" s="150"/>
    </row>
    <row r="64" spans="2:21" ht="13" x14ac:dyDescent="0.15">
      <c r="B64" s="149"/>
      <c r="C64" s="162"/>
      <c r="H64" s="53" t="s">
        <v>97</v>
      </c>
      <c r="L64" s="151">
        <f>+'Datos EF'!C13</f>
        <v>350000</v>
      </c>
      <c r="M64" s="151">
        <f>+'Datos EF'!D13</f>
        <v>270000</v>
      </c>
      <c r="N64" s="151">
        <f>+'Datos EF'!E13</f>
        <v>200000</v>
      </c>
      <c r="O64" s="168"/>
      <c r="P64" s="168"/>
      <c r="Q64" s="168"/>
      <c r="R64" s="168"/>
      <c r="S64" s="169"/>
      <c r="T64" s="169"/>
      <c r="U64" s="150"/>
    </row>
    <row r="65" spans="2:21" ht="14" thickBot="1" x14ac:dyDescent="0.2">
      <c r="B65" s="158"/>
      <c r="C65" s="159"/>
      <c r="D65" s="159"/>
      <c r="E65" s="159"/>
      <c r="F65" s="159"/>
      <c r="G65" s="159"/>
      <c r="H65" s="159"/>
      <c r="I65" s="159"/>
      <c r="J65" s="159"/>
      <c r="K65" s="159"/>
      <c r="L65" s="159"/>
      <c r="M65" s="159"/>
      <c r="N65" s="159"/>
      <c r="O65" s="159"/>
      <c r="P65" s="159"/>
      <c r="Q65" s="159"/>
      <c r="R65" s="159"/>
      <c r="S65" s="160"/>
      <c r="T65" s="160"/>
      <c r="U65" s="161"/>
    </row>
    <row r="66" spans="2:21" ht="14" thickBot="1" x14ac:dyDescent="0.2"/>
    <row r="67" spans="2:21" ht="13" x14ac:dyDescent="0.15">
      <c r="B67" s="145"/>
      <c r="C67" s="146"/>
      <c r="D67" s="146"/>
      <c r="E67" s="146"/>
      <c r="F67" s="146"/>
      <c r="G67" s="146"/>
      <c r="H67" s="146"/>
      <c r="I67" s="146"/>
      <c r="J67" s="146"/>
      <c r="K67" s="146"/>
      <c r="L67" s="146"/>
      <c r="M67" s="146"/>
      <c r="N67" s="146"/>
      <c r="O67" s="146"/>
      <c r="P67" s="146"/>
      <c r="Q67" s="146"/>
      <c r="R67" s="146"/>
      <c r="S67" s="147"/>
      <c r="T67" s="147"/>
      <c r="U67" s="148"/>
    </row>
    <row r="68" spans="2:21" ht="13" x14ac:dyDescent="0.15">
      <c r="B68" s="149"/>
      <c r="C68" s="162" t="s">
        <v>115</v>
      </c>
      <c r="H68" s="52" t="s">
        <v>157</v>
      </c>
      <c r="I68" s="163"/>
      <c r="J68" s="163"/>
      <c r="K68" s="163"/>
      <c r="L68" s="155">
        <f>+'Datos EF'!C15</f>
        <v>140000</v>
      </c>
      <c r="M68" s="155">
        <f>+'Datos EF'!D15</f>
        <v>108000</v>
      </c>
      <c r="N68" s="155">
        <f>+'Datos EF'!E15</f>
        <v>80000</v>
      </c>
      <c r="O68" s="168">
        <f>+IF(ISERROR(L68/L69)," ",L68/L69)</f>
        <v>0.4</v>
      </c>
      <c r="P68" s="168">
        <f t="shared" ref="P68:Q68" si="24">+IF(ISERROR(M68/M69)," ",M68/M69)</f>
        <v>0.4</v>
      </c>
      <c r="Q68" s="168">
        <f t="shared" si="24"/>
        <v>0.4</v>
      </c>
      <c r="R68" s="168"/>
      <c r="S68" s="170" t="s">
        <v>101</v>
      </c>
      <c r="T68" s="170">
        <v>0.2</v>
      </c>
      <c r="U68" s="150"/>
    </row>
    <row r="69" spans="2:21" ht="13" x14ac:dyDescent="0.15">
      <c r="B69" s="149"/>
      <c r="H69" s="53" t="s">
        <v>96</v>
      </c>
      <c r="L69" s="151">
        <f>+'Datos EF'!C13</f>
        <v>350000</v>
      </c>
      <c r="M69" s="151">
        <f>+'Datos EF'!D13</f>
        <v>270000</v>
      </c>
      <c r="N69" s="151">
        <f>+'Datos EF'!E13</f>
        <v>200000</v>
      </c>
      <c r="O69" s="168"/>
      <c r="P69" s="168"/>
      <c r="Q69" s="168"/>
      <c r="R69" s="168"/>
      <c r="S69" s="170"/>
      <c r="T69" s="170"/>
      <c r="U69" s="150"/>
    </row>
    <row r="70" spans="2:21" ht="13" x14ac:dyDescent="0.15">
      <c r="B70" s="149"/>
      <c r="O70" s="168"/>
      <c r="P70" s="168"/>
      <c r="Q70" s="168"/>
      <c r="U70" s="150"/>
    </row>
    <row r="71" spans="2:21" ht="13" x14ac:dyDescent="0.15">
      <c r="B71" s="149"/>
      <c r="C71" s="162" t="s">
        <v>116</v>
      </c>
      <c r="H71" s="52" t="s">
        <v>158</v>
      </c>
      <c r="I71" s="52"/>
      <c r="J71" s="52"/>
      <c r="K71" s="52"/>
      <c r="L71" s="164">
        <f>+'Datos EF'!C22</f>
        <v>52000</v>
      </c>
      <c r="M71" s="164">
        <f>+'Datos EF'!D22</f>
        <v>33000</v>
      </c>
      <c r="N71" s="164">
        <f>+'Datos EF'!E22</f>
        <v>31000</v>
      </c>
      <c r="O71" s="168">
        <f t="shared" ref="O71:Q74" si="25">+IF(ISERROR(L71/L72)," ",L71/L72)</f>
        <v>0.14857142857142858</v>
      </c>
      <c r="P71" s="168">
        <f t="shared" si="25"/>
        <v>0.12222222222222222</v>
      </c>
      <c r="Q71" s="168">
        <f t="shared" si="25"/>
        <v>0.155</v>
      </c>
      <c r="R71" s="168"/>
      <c r="S71" s="170" t="s">
        <v>101</v>
      </c>
      <c r="T71" s="170">
        <v>7.0000000000000007E-2</v>
      </c>
      <c r="U71" s="150"/>
    </row>
    <row r="72" spans="2:21" ht="13" x14ac:dyDescent="0.15">
      <c r="B72" s="149"/>
      <c r="H72" s="53" t="s">
        <v>96</v>
      </c>
      <c r="L72" s="151">
        <f>+L69</f>
        <v>350000</v>
      </c>
      <c r="M72" s="151">
        <f t="shared" ref="M72:N72" si="26">+M69</f>
        <v>270000</v>
      </c>
      <c r="N72" s="151">
        <f t="shared" si="26"/>
        <v>200000</v>
      </c>
      <c r="O72" s="168"/>
      <c r="P72" s="168"/>
      <c r="Q72" s="168"/>
      <c r="R72" s="168"/>
      <c r="S72" s="170"/>
      <c r="T72" s="170"/>
      <c r="U72" s="150"/>
    </row>
    <row r="73" spans="2:21" ht="13" x14ac:dyDescent="0.15">
      <c r="B73" s="149"/>
      <c r="O73" s="168"/>
      <c r="P73" s="168"/>
      <c r="Q73" s="168"/>
      <c r="U73" s="150"/>
    </row>
    <row r="74" spans="2:21" ht="13" x14ac:dyDescent="0.15">
      <c r="B74" s="149"/>
      <c r="C74" s="162" t="s">
        <v>117</v>
      </c>
      <c r="H74" s="52" t="s">
        <v>159</v>
      </c>
      <c r="I74" s="52"/>
      <c r="J74" s="52"/>
      <c r="K74" s="52"/>
      <c r="L74" s="164">
        <f>+'Datos EF'!C30</f>
        <v>20500</v>
      </c>
      <c r="M74" s="164">
        <f>+'Datos EF'!D30</f>
        <v>8250</v>
      </c>
      <c r="N74" s="164">
        <f>+'Datos EF'!E30</f>
        <v>7750</v>
      </c>
      <c r="O74" s="168">
        <f t="shared" si="25"/>
        <v>5.8571428571428573E-2</v>
      </c>
      <c r="P74" s="168">
        <f t="shared" si="25"/>
        <v>3.0555555555555555E-2</v>
      </c>
      <c r="Q74" s="168">
        <f t="shared" si="25"/>
        <v>3.875E-2</v>
      </c>
      <c r="R74" s="168"/>
      <c r="S74" s="170" t="s">
        <v>101</v>
      </c>
      <c r="T74" s="170">
        <v>0.05</v>
      </c>
      <c r="U74" s="150"/>
    </row>
    <row r="75" spans="2:21" ht="13" x14ac:dyDescent="0.15">
      <c r="B75" s="149"/>
      <c r="H75" s="53" t="s">
        <v>96</v>
      </c>
      <c r="L75" s="151">
        <f>+L72</f>
        <v>350000</v>
      </c>
      <c r="M75" s="151">
        <f t="shared" ref="M75:N75" si="27">+M72</f>
        <v>270000</v>
      </c>
      <c r="N75" s="151">
        <f t="shared" si="27"/>
        <v>200000</v>
      </c>
      <c r="O75" s="168"/>
      <c r="P75" s="168"/>
      <c r="Q75" s="168"/>
      <c r="R75" s="168"/>
      <c r="S75" s="170"/>
      <c r="T75" s="170"/>
      <c r="U75" s="150"/>
    </row>
    <row r="76" spans="2:21" ht="14" thickBot="1" x14ac:dyDescent="0.2">
      <c r="B76" s="158"/>
      <c r="C76" s="159"/>
      <c r="D76" s="159"/>
      <c r="E76" s="159"/>
      <c r="F76" s="159"/>
      <c r="G76" s="159"/>
      <c r="H76" s="159"/>
      <c r="I76" s="159"/>
      <c r="J76" s="159"/>
      <c r="K76" s="159"/>
      <c r="L76" s="159"/>
      <c r="M76" s="159"/>
      <c r="N76" s="159"/>
      <c r="O76" s="159"/>
      <c r="P76" s="159"/>
      <c r="Q76" s="159"/>
      <c r="R76" s="159"/>
      <c r="S76" s="160"/>
      <c r="T76" s="160"/>
      <c r="U76" s="161"/>
    </row>
    <row r="77" spans="2:21" ht="14" thickBot="1" x14ac:dyDescent="0.2"/>
    <row r="78" spans="2:21" ht="13" x14ac:dyDescent="0.15">
      <c r="B78" s="145"/>
      <c r="C78" s="146"/>
      <c r="D78" s="146"/>
      <c r="E78" s="146"/>
      <c r="F78" s="146"/>
      <c r="G78" s="146"/>
      <c r="H78" s="146"/>
      <c r="I78" s="146"/>
      <c r="J78" s="146"/>
      <c r="K78" s="146"/>
      <c r="L78" s="146"/>
      <c r="M78" s="146"/>
      <c r="N78" s="146"/>
      <c r="O78" s="146"/>
      <c r="P78" s="146"/>
      <c r="Q78" s="146"/>
      <c r="R78" s="146"/>
      <c r="S78" s="147"/>
      <c r="T78" s="147"/>
      <c r="U78" s="148"/>
    </row>
    <row r="79" spans="2:21" ht="13" x14ac:dyDescent="0.15">
      <c r="B79" s="149"/>
      <c r="C79" s="162" t="s">
        <v>160</v>
      </c>
      <c r="H79" s="52" t="s">
        <v>159</v>
      </c>
      <c r="I79" s="163"/>
      <c r="J79" s="163"/>
      <c r="K79" s="163"/>
      <c r="L79" s="155">
        <f>+L74</f>
        <v>20500</v>
      </c>
      <c r="M79" s="155">
        <f t="shared" ref="M79:N79" si="28">+M74</f>
        <v>8250</v>
      </c>
      <c r="N79" s="155">
        <f t="shared" si="28"/>
        <v>7750</v>
      </c>
      <c r="O79" s="168">
        <f>+IF(ISERROR(L79/L80)," ",L79/L80)</f>
        <v>2.4758454106280192E-2</v>
      </c>
      <c r="P79" s="168">
        <f t="shared" ref="P79:Q79" si="29">+IF(ISERROR(M79/M80)," ",M79/M80)</f>
        <v>1.0604113110539846E-2</v>
      </c>
      <c r="Q79" s="168">
        <f t="shared" si="29"/>
        <v>1.1330409356725146E-2</v>
      </c>
      <c r="R79" s="168"/>
      <c r="S79" s="157" t="s">
        <v>145</v>
      </c>
      <c r="T79" s="157" t="s">
        <v>122</v>
      </c>
      <c r="U79" s="150"/>
    </row>
    <row r="80" spans="2:21" ht="13" x14ac:dyDescent="0.15">
      <c r="B80" s="149"/>
      <c r="C80" s="162" t="s">
        <v>118</v>
      </c>
      <c r="H80" s="53" t="s">
        <v>161</v>
      </c>
      <c r="L80" s="151">
        <f>+'Datos EF'!I9</f>
        <v>828000</v>
      </c>
      <c r="M80" s="151">
        <f>+'Datos EF'!J9</f>
        <v>778000</v>
      </c>
      <c r="N80" s="151">
        <f>+'Datos EF'!K9</f>
        <v>684000</v>
      </c>
      <c r="O80" s="168"/>
      <c r="P80" s="168"/>
      <c r="Q80" s="168"/>
      <c r="R80" s="168"/>
      <c r="S80" s="157"/>
      <c r="T80" s="157"/>
      <c r="U80" s="150"/>
    </row>
    <row r="81" spans="2:21" ht="14" thickBot="1" x14ac:dyDescent="0.2">
      <c r="B81" s="158"/>
      <c r="C81" s="159"/>
      <c r="D81" s="159"/>
      <c r="E81" s="159"/>
      <c r="F81" s="159"/>
      <c r="G81" s="159"/>
      <c r="H81" s="159"/>
      <c r="I81" s="159"/>
      <c r="J81" s="159"/>
      <c r="K81" s="159"/>
      <c r="L81" s="159"/>
      <c r="M81" s="159"/>
      <c r="N81" s="159"/>
      <c r="O81" s="159"/>
      <c r="P81" s="159"/>
      <c r="Q81" s="159"/>
      <c r="R81" s="159"/>
      <c r="S81" s="160"/>
      <c r="T81" s="160"/>
      <c r="U81" s="161"/>
    </row>
    <row r="82" spans="2:21" ht="14" thickBot="1" x14ac:dyDescent="0.2"/>
    <row r="83" spans="2:21" ht="13" x14ac:dyDescent="0.15">
      <c r="B83" s="145"/>
      <c r="C83" s="146"/>
      <c r="D83" s="146"/>
      <c r="E83" s="146"/>
      <c r="F83" s="146"/>
      <c r="G83" s="146"/>
      <c r="H83" s="146"/>
      <c r="I83" s="146"/>
      <c r="J83" s="146"/>
      <c r="K83" s="146"/>
      <c r="L83" s="146"/>
      <c r="M83" s="146"/>
      <c r="N83" s="146"/>
      <c r="O83" s="146"/>
      <c r="P83" s="146"/>
      <c r="Q83" s="146"/>
      <c r="R83" s="146"/>
      <c r="S83" s="147"/>
      <c r="T83" s="147"/>
      <c r="U83" s="148"/>
    </row>
    <row r="84" spans="2:21" ht="13" x14ac:dyDescent="0.15">
      <c r="B84" s="149"/>
      <c r="C84" s="162" t="s">
        <v>162</v>
      </c>
      <c r="H84" s="52" t="s">
        <v>159</v>
      </c>
      <c r="I84" s="163"/>
      <c r="J84" s="163"/>
      <c r="K84" s="163"/>
      <c r="L84" s="155">
        <f>+L79</f>
        <v>20500</v>
      </c>
      <c r="M84" s="155">
        <f t="shared" ref="M84:N84" si="30">+M79</f>
        <v>8250</v>
      </c>
      <c r="N84" s="155">
        <f t="shared" si="30"/>
        <v>7750</v>
      </c>
      <c r="O84" s="168">
        <f>+IF(ISERROR(L84/L85)," ",L84/L85)</f>
        <v>4.1582150101419878E-2</v>
      </c>
      <c r="P84" s="168">
        <f t="shared" ref="P84:Q84" si="31">+IF(ISERROR(M84/M85)," ",M84/M85)</f>
        <v>2.0471464019851116E-2</v>
      </c>
      <c r="Q84" s="168">
        <f t="shared" si="31"/>
        <v>2.8284671532846715E-2</v>
      </c>
      <c r="R84" s="168"/>
      <c r="S84" s="157" t="s">
        <v>101</v>
      </c>
      <c r="T84" s="157" t="s">
        <v>163</v>
      </c>
      <c r="U84" s="150"/>
    </row>
    <row r="85" spans="2:21" ht="13" x14ac:dyDescent="0.15">
      <c r="B85" s="149"/>
      <c r="C85" s="162" t="s">
        <v>119</v>
      </c>
      <c r="H85" s="53" t="s">
        <v>164</v>
      </c>
      <c r="L85" s="151">
        <f>+'Datos EF'!I36</f>
        <v>493000</v>
      </c>
      <c r="M85" s="151">
        <f>+'Datos EF'!J36</f>
        <v>403000</v>
      </c>
      <c r="N85" s="151">
        <f>+'Datos EF'!K36</f>
        <v>274000</v>
      </c>
      <c r="O85" s="168"/>
      <c r="P85" s="168"/>
      <c r="Q85" s="168"/>
      <c r="R85" s="168"/>
      <c r="S85" s="157"/>
      <c r="T85" s="157"/>
      <c r="U85" s="150"/>
    </row>
    <row r="86" spans="2:21" ht="14" thickBot="1" x14ac:dyDescent="0.2">
      <c r="B86" s="158"/>
      <c r="C86" s="159"/>
      <c r="D86" s="159"/>
      <c r="E86" s="159"/>
      <c r="F86" s="159"/>
      <c r="G86" s="159"/>
      <c r="H86" s="159"/>
      <c r="I86" s="159"/>
      <c r="J86" s="159"/>
      <c r="K86" s="159"/>
      <c r="L86" s="159"/>
      <c r="M86" s="159"/>
      <c r="N86" s="159"/>
      <c r="O86" s="159"/>
      <c r="P86" s="159"/>
      <c r="Q86" s="159"/>
      <c r="R86" s="159"/>
      <c r="S86" s="160"/>
      <c r="T86" s="160"/>
      <c r="U86" s="161"/>
    </row>
    <row r="87" spans="2:21" ht="14" thickBot="1" x14ac:dyDescent="0.2"/>
    <row r="88" spans="2:21" ht="13" x14ac:dyDescent="0.15">
      <c r="B88" s="145"/>
      <c r="C88" s="146"/>
      <c r="D88" s="146"/>
      <c r="E88" s="146"/>
      <c r="F88" s="146"/>
      <c r="G88" s="146"/>
      <c r="H88" s="146"/>
      <c r="I88" s="146"/>
      <c r="J88" s="146"/>
      <c r="K88" s="146"/>
      <c r="L88" s="146"/>
      <c r="M88" s="146"/>
      <c r="N88" s="146"/>
      <c r="O88" s="146"/>
      <c r="P88" s="146"/>
      <c r="Q88" s="146"/>
      <c r="R88" s="146"/>
      <c r="S88" s="147"/>
      <c r="T88" s="147"/>
      <c r="U88" s="148"/>
    </row>
    <row r="89" spans="2:21" ht="13" x14ac:dyDescent="0.15">
      <c r="B89" s="149"/>
      <c r="C89" s="162" t="s">
        <v>120</v>
      </c>
      <c r="H89" s="52" t="s">
        <v>165</v>
      </c>
      <c r="I89" s="163"/>
      <c r="J89" s="163"/>
      <c r="K89" s="163"/>
      <c r="L89" s="155">
        <f>+'Datos EF'!I10-'Datos EF'!I13</f>
        <v>378000</v>
      </c>
      <c r="M89" s="155">
        <f>+'Datos EF'!J10-'Datos EF'!J13</f>
        <v>338000</v>
      </c>
      <c r="N89" s="155">
        <f>+'Datos EF'!K10-'Datos EF'!K13</f>
        <v>254000</v>
      </c>
      <c r="O89" s="168">
        <f>+IF(ISERROR(L89/L90)," ",L89/L90)</f>
        <v>10.8</v>
      </c>
      <c r="P89" s="168">
        <f t="shared" ref="P89:Q89" si="32">+IF(ISERROR(M89/M90)," ",M89/M90)</f>
        <v>13.52</v>
      </c>
      <c r="Q89" s="168">
        <f t="shared" si="32"/>
        <v>25.4</v>
      </c>
      <c r="R89" s="168"/>
      <c r="S89" s="157" t="s">
        <v>145</v>
      </c>
      <c r="T89" s="157" t="s">
        <v>166</v>
      </c>
      <c r="U89" s="150"/>
    </row>
    <row r="90" spans="2:21" ht="13" x14ac:dyDescent="0.15">
      <c r="B90" s="149"/>
      <c r="C90" s="162"/>
      <c r="H90" s="53" t="s">
        <v>167</v>
      </c>
      <c r="L90" s="151">
        <f>+'Datos EF'!I25</f>
        <v>35000</v>
      </c>
      <c r="M90" s="151">
        <f>+'Datos EF'!J25</f>
        <v>25000</v>
      </c>
      <c r="N90" s="151">
        <f>+'Datos EF'!K25</f>
        <v>10000</v>
      </c>
      <c r="O90" s="168"/>
      <c r="P90" s="168"/>
      <c r="Q90" s="168"/>
      <c r="R90" s="168"/>
      <c r="S90" s="157"/>
      <c r="T90" s="157"/>
      <c r="U90" s="150"/>
    </row>
    <row r="91" spans="2:21" ht="14" thickBot="1" x14ac:dyDescent="0.2">
      <c r="B91" s="158"/>
      <c r="C91" s="159"/>
      <c r="D91" s="159"/>
      <c r="E91" s="159"/>
      <c r="F91" s="159"/>
      <c r="G91" s="159"/>
      <c r="H91" s="159"/>
      <c r="I91" s="159"/>
      <c r="J91" s="159"/>
      <c r="K91" s="159"/>
      <c r="L91" s="159"/>
      <c r="M91" s="159"/>
      <c r="N91" s="159"/>
      <c r="O91" s="159"/>
      <c r="P91" s="159"/>
      <c r="Q91" s="159"/>
      <c r="R91" s="159"/>
      <c r="S91" s="160"/>
      <c r="T91" s="160"/>
      <c r="U91" s="161"/>
    </row>
    <row r="92" spans="2:21" ht="14" thickBot="1" x14ac:dyDescent="0.2"/>
    <row r="93" spans="2:21" ht="13" x14ac:dyDescent="0.15">
      <c r="B93" s="145"/>
      <c r="C93" s="146"/>
      <c r="D93" s="146"/>
      <c r="E93" s="146"/>
      <c r="F93" s="146"/>
      <c r="G93" s="146"/>
      <c r="H93" s="146"/>
      <c r="I93" s="146"/>
      <c r="J93" s="146"/>
      <c r="K93" s="146"/>
      <c r="L93" s="146"/>
      <c r="M93" s="146"/>
      <c r="N93" s="146"/>
      <c r="O93" s="146"/>
      <c r="P93" s="146"/>
      <c r="Q93" s="146"/>
      <c r="R93" s="146"/>
      <c r="S93" s="147"/>
      <c r="T93" s="147"/>
      <c r="U93" s="148"/>
    </row>
    <row r="94" spans="2:21" ht="13" x14ac:dyDescent="0.15">
      <c r="B94" s="149"/>
      <c r="C94" s="162" t="s">
        <v>121</v>
      </c>
      <c r="H94" s="52" t="s">
        <v>164</v>
      </c>
      <c r="I94" s="163"/>
      <c r="J94" s="163"/>
      <c r="K94" s="163"/>
      <c r="L94" s="155">
        <f>+L85</f>
        <v>493000</v>
      </c>
      <c r="M94" s="155">
        <f t="shared" ref="M94:N94" si="33">+M85</f>
        <v>403000</v>
      </c>
      <c r="N94" s="155">
        <f t="shared" si="33"/>
        <v>274000</v>
      </c>
      <c r="O94" s="168">
        <f>+IF(ISERROR(L94/L95)," ",L94/L95)</f>
        <v>0.59541062801932365</v>
      </c>
      <c r="P94" s="168">
        <f t="shared" ref="P94:Q94" si="34">+IF(ISERROR(M94/M95)," ",M94/M95)</f>
        <v>0.51799485861182515</v>
      </c>
      <c r="Q94" s="168">
        <f t="shared" si="34"/>
        <v>0.40058479532163743</v>
      </c>
      <c r="R94" s="168"/>
      <c r="S94" s="157" t="s">
        <v>101</v>
      </c>
      <c r="T94" s="157" t="s">
        <v>122</v>
      </c>
      <c r="U94" s="150"/>
    </row>
    <row r="95" spans="2:21" ht="13" x14ac:dyDescent="0.15">
      <c r="B95" s="149"/>
      <c r="C95" s="162"/>
      <c r="H95" s="53" t="s">
        <v>103</v>
      </c>
      <c r="L95" s="151">
        <f>+L80</f>
        <v>828000</v>
      </c>
      <c r="M95" s="151">
        <f t="shared" ref="M95:N95" si="35">+M80</f>
        <v>778000</v>
      </c>
      <c r="N95" s="151">
        <f t="shared" si="35"/>
        <v>684000</v>
      </c>
      <c r="O95" s="168"/>
      <c r="P95" s="168"/>
      <c r="Q95" s="168"/>
      <c r="R95" s="168"/>
      <c r="S95" s="157"/>
      <c r="T95" s="157"/>
      <c r="U95" s="150"/>
    </row>
    <row r="96" spans="2:21" ht="14" thickBot="1" x14ac:dyDescent="0.2">
      <c r="B96" s="158"/>
      <c r="C96" s="159"/>
      <c r="D96" s="159"/>
      <c r="E96" s="159"/>
      <c r="F96" s="159"/>
      <c r="G96" s="159"/>
      <c r="H96" s="159"/>
      <c r="I96" s="159"/>
      <c r="J96" s="159"/>
      <c r="K96" s="159"/>
      <c r="L96" s="159"/>
      <c r="M96" s="159"/>
      <c r="N96" s="159"/>
      <c r="O96" s="159"/>
      <c r="P96" s="159"/>
      <c r="Q96" s="159"/>
      <c r="R96" s="159"/>
      <c r="S96" s="160"/>
      <c r="T96" s="160"/>
      <c r="U96" s="161"/>
    </row>
    <row r="97" spans="2:21" ht="13" x14ac:dyDescent="0.15"/>
    <row r="98" spans="2:21" ht="14" thickBot="1" x14ac:dyDescent="0.2"/>
    <row r="99" spans="2:21" ht="13" x14ac:dyDescent="0.15">
      <c r="B99" s="145"/>
      <c r="C99" s="146"/>
      <c r="D99" s="146"/>
      <c r="E99" s="146"/>
      <c r="F99" s="146"/>
      <c r="G99" s="146"/>
      <c r="H99" s="146"/>
      <c r="I99" s="146"/>
      <c r="J99" s="146"/>
      <c r="K99" s="146"/>
      <c r="L99" s="146"/>
      <c r="M99" s="146"/>
      <c r="N99" s="146"/>
      <c r="O99" s="146"/>
      <c r="P99" s="146"/>
      <c r="Q99" s="146"/>
      <c r="R99" s="146"/>
      <c r="S99" s="147"/>
      <c r="T99" s="147"/>
      <c r="U99" s="148"/>
    </row>
    <row r="100" spans="2:21" ht="13" x14ac:dyDescent="0.15">
      <c r="B100" s="149"/>
      <c r="C100" s="162" t="s">
        <v>168</v>
      </c>
      <c r="H100" s="52" t="s">
        <v>124</v>
      </c>
      <c r="I100" s="163"/>
      <c r="J100" s="163"/>
      <c r="K100" s="163"/>
      <c r="L100" s="155">
        <f>+L90</f>
        <v>35000</v>
      </c>
      <c r="M100" s="155">
        <f t="shared" ref="M100:N100" si="36">+M90</f>
        <v>25000</v>
      </c>
      <c r="N100" s="155">
        <f t="shared" si="36"/>
        <v>10000</v>
      </c>
      <c r="O100" s="168">
        <f>+IF(ISERROR(L100/L101)," ",L100/L101)</f>
        <v>0.1044776119402985</v>
      </c>
      <c r="P100" s="168">
        <f t="shared" ref="P100:Q100" si="37">+IF(ISERROR(M100/M101)," ",M100/M101)</f>
        <v>6.6666666666666666E-2</v>
      </c>
      <c r="Q100" s="168">
        <f t="shared" si="37"/>
        <v>2.4390243902439025E-2</v>
      </c>
      <c r="R100" s="168"/>
      <c r="S100" s="157" t="s">
        <v>101</v>
      </c>
      <c r="T100" s="157" t="s">
        <v>122</v>
      </c>
      <c r="U100" s="150"/>
    </row>
    <row r="101" spans="2:21" ht="13" x14ac:dyDescent="0.15">
      <c r="B101" s="149"/>
      <c r="C101" s="162"/>
      <c r="H101" s="53" t="s">
        <v>169</v>
      </c>
      <c r="L101" s="151">
        <f>+L53</f>
        <v>335000</v>
      </c>
      <c r="M101" s="151">
        <f t="shared" ref="M101:N101" si="38">+M53</f>
        <v>375000</v>
      </c>
      <c r="N101" s="151">
        <f t="shared" si="38"/>
        <v>410000</v>
      </c>
      <c r="O101" s="168"/>
      <c r="P101" s="168"/>
      <c r="Q101" s="168"/>
      <c r="R101" s="168"/>
      <c r="S101" s="157"/>
      <c r="T101" s="157"/>
      <c r="U101" s="150"/>
    </row>
    <row r="102" spans="2:21" ht="14" thickBot="1" x14ac:dyDescent="0.2">
      <c r="B102" s="158"/>
      <c r="C102" s="159"/>
      <c r="D102" s="159"/>
      <c r="E102" s="159"/>
      <c r="F102" s="159"/>
      <c r="G102" s="159"/>
      <c r="H102" s="159"/>
      <c r="I102" s="159"/>
      <c r="J102" s="159"/>
      <c r="K102" s="159"/>
      <c r="L102" s="159"/>
      <c r="M102" s="159"/>
      <c r="N102" s="159"/>
      <c r="O102" s="159"/>
      <c r="P102" s="159"/>
      <c r="Q102" s="159"/>
      <c r="R102" s="159"/>
      <c r="S102" s="160"/>
      <c r="T102" s="160"/>
      <c r="U102" s="161"/>
    </row>
    <row r="103" spans="2:21" ht="13" x14ac:dyDescent="0.15"/>
    <row r="104" spans="2:21" ht="14" thickBot="1" x14ac:dyDescent="0.2"/>
    <row r="105" spans="2:21" ht="13" x14ac:dyDescent="0.15">
      <c r="B105" s="145"/>
      <c r="C105" s="146"/>
      <c r="D105" s="146"/>
      <c r="E105" s="146"/>
      <c r="F105" s="146"/>
      <c r="G105" s="146"/>
      <c r="H105" s="146"/>
      <c r="I105" s="146"/>
      <c r="J105" s="146"/>
      <c r="K105" s="146"/>
      <c r="L105" s="146"/>
      <c r="M105" s="146"/>
      <c r="N105" s="146"/>
      <c r="O105" s="146"/>
      <c r="P105" s="146"/>
      <c r="Q105" s="146"/>
      <c r="R105" s="146"/>
      <c r="S105" s="147"/>
      <c r="T105" s="147"/>
      <c r="U105" s="148"/>
    </row>
    <row r="106" spans="2:21" ht="13" x14ac:dyDescent="0.15">
      <c r="B106" s="149"/>
      <c r="C106" s="162" t="s">
        <v>123</v>
      </c>
      <c r="H106" s="53" t="s">
        <v>170</v>
      </c>
      <c r="L106" s="155">
        <f>+(('Datos EF'!I13+'Datos EF'!I14)-'Datos EF'!I26)*0.7</f>
        <v>40600</v>
      </c>
      <c r="M106" s="155">
        <f>+(('Datos EF'!J13+'Datos EF'!J14)-'Datos EF'!J26)*0.7</f>
        <v>31499.999999999996</v>
      </c>
      <c r="N106" s="155">
        <f>+(('Datos EF'!K13+'Datos EF'!K14)-'Datos EF'!K26)*0.7</f>
        <v>24500</v>
      </c>
      <c r="O106" s="171">
        <f>+L106</f>
        <v>40600</v>
      </c>
      <c r="P106" s="171">
        <f t="shared" ref="P106:Q106" si="39">+M106</f>
        <v>31499.999999999996</v>
      </c>
      <c r="Q106" s="171">
        <f t="shared" si="39"/>
        <v>24500</v>
      </c>
      <c r="R106" s="168"/>
      <c r="S106" s="157" t="s">
        <v>101</v>
      </c>
      <c r="T106" s="157" t="s">
        <v>122</v>
      </c>
      <c r="U106" s="150"/>
    </row>
    <row r="107" spans="2:21" ht="13" x14ac:dyDescent="0.15">
      <c r="B107" s="149"/>
      <c r="C107" s="162"/>
      <c r="H107" s="53"/>
      <c r="L107" s="151"/>
      <c r="M107" s="151"/>
      <c r="N107" s="151"/>
      <c r="O107" s="168"/>
      <c r="P107" s="168"/>
      <c r="Q107" s="168"/>
      <c r="R107" s="168"/>
      <c r="S107" s="157"/>
      <c r="T107" s="157"/>
      <c r="U107" s="150"/>
    </row>
    <row r="108" spans="2:21" ht="14" thickBot="1" x14ac:dyDescent="0.2">
      <c r="B108" s="158"/>
      <c r="C108" s="159"/>
      <c r="D108" s="159"/>
      <c r="E108" s="159"/>
      <c r="F108" s="159"/>
      <c r="G108" s="159"/>
      <c r="H108" s="159"/>
      <c r="I108" s="159"/>
      <c r="J108" s="159"/>
      <c r="K108" s="159"/>
      <c r="L108" s="159"/>
      <c r="M108" s="159"/>
      <c r="N108" s="159"/>
      <c r="O108" s="159"/>
      <c r="P108" s="159"/>
      <c r="Q108" s="159"/>
      <c r="R108" s="159"/>
      <c r="S108" s="160"/>
      <c r="T108" s="160"/>
      <c r="U108" s="161"/>
    </row>
    <row r="109" spans="2:21" ht="13" x14ac:dyDescent="0.15"/>
  </sheetData>
  <mergeCells count="1">
    <mergeCell ref="E5:O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Datos EF</vt:lpstr>
      <vt:lpstr>Comparativo BG</vt:lpstr>
      <vt:lpstr>Comparativo ER</vt:lpstr>
      <vt:lpstr>Analisis Ebitda</vt:lpstr>
      <vt:lpstr>KPIs</vt:lpstr>
      <vt:lpstr>Formulas</vt:lpstr>
      <vt:lpstr>Numeromes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Colon Colon Consultores CPA</dc:creator>
  <cp:keywords/>
  <dc:description/>
  <cp:lastModifiedBy>Julio Colon Colon Consultores CPA</cp:lastModifiedBy>
  <dcterms:created xsi:type="dcterms:W3CDTF">2025-09-18T19:49:05Z</dcterms:created>
  <dcterms:modified xsi:type="dcterms:W3CDTF">2025-09-18T22:25:14Z</dcterms:modified>
  <cp:category/>
</cp:coreProperties>
</file>